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NAS-Proalpe\Progetti Proalpe\179_22_COLLEGAMENTO_TN_BONDONE\02_PROGETTO PRELIMINARE\01_WORK_IN_PROGRESS\05_xls\CORRETTI\FINALI\"/>
    </mc:Choice>
  </mc:AlternateContent>
  <bookViews>
    <workbookView xWindow="0" yWindow="0" windowWidth="28800" windowHeight="12435" tabRatio="864" firstSheet="1" activeTab="2"/>
  </bookViews>
  <sheets>
    <sheet name="Foglio1" sheetId="31" state="hidden" r:id="rId1"/>
    <sheet name="3.1 Mobilità e Rete TPL" sheetId="15" r:id="rId2"/>
    <sheet name="3.2 Linee TPL" sheetId="16" r:id="rId3"/>
    <sheet name="3.3 Parco TPL" sheetId="26" r:id="rId4"/>
    <sheet name="3.4 Costi d'Investimento" sheetId="17" r:id="rId5"/>
    <sheet name="3.5 Vita Utile" sheetId="18" r:id="rId6"/>
    <sheet name="3.6 Valore Residuo e Rinnovi" sheetId="19" r:id="rId7"/>
    <sheet name="3.7 Costi d'Esercizio" sheetId="20" r:id="rId8"/>
    <sheet name="3.8 ABC" sheetId="21" r:id="rId9"/>
    <sheet name="3.9 Copertura Costi d'Esercizio" sheetId="30" r:id="rId10"/>
    <sheet name="Dati di Supporto" sheetId="23" r:id="rId11"/>
  </sheets>
  <definedNames>
    <definedName name="sottoprogramma">#REF!</definedName>
    <definedName name="Tipologia">#REF!</definedName>
  </definedNames>
  <calcPr calcId="152511" iterateDelta="1E-4"/>
</workbook>
</file>

<file path=xl/calcChain.xml><?xml version="1.0" encoding="utf-8"?>
<calcChain xmlns="http://schemas.openxmlformats.org/spreadsheetml/2006/main">
  <c r="H91" i="21" l="1"/>
  <c r="I91" i="21"/>
  <c r="J91" i="21"/>
  <c r="K91" i="21"/>
  <c r="H89" i="21"/>
  <c r="I89" i="21"/>
  <c r="J89" i="21"/>
  <c r="K89" i="21"/>
  <c r="N87" i="21"/>
  <c r="H87" i="21"/>
  <c r="I87" i="21"/>
  <c r="J87" i="21"/>
  <c r="K87" i="21"/>
  <c r="L87" i="21"/>
  <c r="M87" i="21"/>
  <c r="G87" i="21"/>
  <c r="H45" i="21"/>
  <c r="I45" i="21"/>
  <c r="J45" i="21"/>
  <c r="K45" i="21"/>
  <c r="H46" i="21"/>
  <c r="I46" i="21"/>
  <c r="J46" i="21"/>
  <c r="K46" i="21"/>
  <c r="H47" i="21"/>
  <c r="I47" i="21"/>
  <c r="J47" i="21"/>
  <c r="K47" i="21"/>
  <c r="H48" i="21"/>
  <c r="I48" i="21"/>
  <c r="J48" i="21"/>
  <c r="K48" i="21"/>
  <c r="H49" i="21"/>
  <c r="I49" i="21"/>
  <c r="J49" i="21"/>
  <c r="K49" i="21"/>
  <c r="H50" i="21"/>
  <c r="I50" i="21"/>
  <c r="J50" i="21"/>
  <c r="K50" i="21"/>
  <c r="H51" i="21"/>
  <c r="I51" i="21"/>
  <c r="J51" i="21"/>
  <c r="K51" i="21"/>
  <c r="H52" i="21"/>
  <c r="I52" i="21"/>
  <c r="J52" i="21"/>
  <c r="K52" i="21"/>
  <c r="H53" i="21"/>
  <c r="I53" i="21"/>
  <c r="J53" i="21"/>
  <c r="K53" i="21"/>
  <c r="H54" i="21"/>
  <c r="I54" i="21"/>
  <c r="J54" i="21"/>
  <c r="K54" i="21"/>
  <c r="H55" i="21"/>
  <c r="I55" i="21"/>
  <c r="J55" i="21"/>
  <c r="K55" i="21"/>
  <c r="H56" i="21"/>
  <c r="I56" i="21"/>
  <c r="J56" i="21"/>
  <c r="K56" i="21"/>
  <c r="H57" i="21"/>
  <c r="I57" i="21"/>
  <c r="J57" i="21"/>
  <c r="K57" i="21"/>
  <c r="H58" i="21"/>
  <c r="I58" i="21"/>
  <c r="J58" i="21"/>
  <c r="K58" i="21"/>
  <c r="H59" i="21"/>
  <c r="I59" i="21"/>
  <c r="J59" i="21"/>
  <c r="K59" i="21"/>
  <c r="H60" i="21"/>
  <c r="I60" i="21"/>
  <c r="J60" i="21"/>
  <c r="K60" i="21"/>
  <c r="H61" i="21"/>
  <c r="I61" i="21"/>
  <c r="J61" i="21"/>
  <c r="K61" i="21"/>
  <c r="H62" i="21"/>
  <c r="I62" i="21"/>
  <c r="J62" i="21"/>
  <c r="K62" i="21"/>
  <c r="H63" i="21"/>
  <c r="I63" i="21"/>
  <c r="J63" i="21"/>
  <c r="K63" i="21"/>
  <c r="H64" i="21"/>
  <c r="I64" i="21"/>
  <c r="J64" i="21"/>
  <c r="K64" i="21"/>
  <c r="H65" i="21"/>
  <c r="I65" i="21"/>
  <c r="J65" i="21"/>
  <c r="K65" i="21"/>
  <c r="H66" i="21"/>
  <c r="I66" i="21"/>
  <c r="J66" i="21"/>
  <c r="K66" i="21"/>
  <c r="H67" i="21"/>
  <c r="I67" i="21"/>
  <c r="J67" i="21"/>
  <c r="K67" i="21"/>
  <c r="H28" i="21"/>
  <c r="I28" i="21"/>
  <c r="J28" i="21"/>
  <c r="K28" i="21"/>
  <c r="H29" i="21"/>
  <c r="I29" i="21"/>
  <c r="J29" i="21"/>
  <c r="K29" i="21"/>
  <c r="H30" i="21"/>
  <c r="I30" i="21"/>
  <c r="J30" i="21"/>
  <c r="K30" i="21"/>
  <c r="H31" i="21"/>
  <c r="I31" i="21"/>
  <c r="J31" i="21"/>
  <c r="K31" i="21"/>
  <c r="H32" i="21"/>
  <c r="I32" i="21"/>
  <c r="J32" i="21"/>
  <c r="K32" i="21"/>
  <c r="H33" i="21"/>
  <c r="I33" i="21"/>
  <c r="J33" i="21"/>
  <c r="K33" i="21"/>
  <c r="H34" i="21"/>
  <c r="I34" i="21"/>
  <c r="J34" i="21"/>
  <c r="K34" i="21"/>
  <c r="H36" i="21"/>
  <c r="I36" i="21"/>
  <c r="J36" i="21"/>
  <c r="K36" i="21"/>
  <c r="H37" i="21"/>
  <c r="I37" i="21"/>
  <c r="J37" i="21"/>
  <c r="K37" i="21"/>
  <c r="H38" i="21"/>
  <c r="I38" i="21"/>
  <c r="J38" i="21"/>
  <c r="K38" i="21"/>
  <c r="H39" i="21"/>
  <c r="I39" i="21"/>
  <c r="J39" i="21"/>
  <c r="K39" i="21"/>
  <c r="H40" i="21"/>
  <c r="I40" i="21"/>
  <c r="J40" i="21"/>
  <c r="K40" i="21"/>
  <c r="H41" i="21"/>
  <c r="I41" i="21"/>
  <c r="J41" i="21"/>
  <c r="K41" i="21"/>
  <c r="H42" i="21"/>
  <c r="I42" i="21"/>
  <c r="J42" i="21"/>
  <c r="K42" i="21"/>
  <c r="H43" i="21"/>
  <c r="I43" i="21"/>
  <c r="J43" i="21"/>
  <c r="K43" i="21"/>
  <c r="O24" i="21" l="1"/>
  <c r="P24" i="21"/>
  <c r="Q24" i="21"/>
  <c r="R24" i="21"/>
  <c r="S24" i="21"/>
  <c r="T24" i="21"/>
  <c r="U24" i="21"/>
  <c r="V24" i="21"/>
  <c r="W24" i="21"/>
  <c r="X24" i="21"/>
  <c r="Y24" i="21"/>
  <c r="Z24" i="21"/>
  <c r="AA24" i="21"/>
  <c r="AB24" i="21"/>
  <c r="AC24" i="21"/>
  <c r="AD24" i="21"/>
  <c r="AE24" i="21"/>
  <c r="AF24" i="21"/>
  <c r="AG24" i="21"/>
  <c r="N24" i="21" l="1"/>
  <c r="E34" i="20" l="1"/>
  <c r="E33" i="20"/>
  <c r="D33" i="20"/>
  <c r="D35" i="20" s="1"/>
  <c r="E29" i="20"/>
  <c r="E35" i="20" s="1"/>
  <c r="E38" i="18" l="1"/>
  <c r="E37" i="18"/>
  <c r="L49" i="17"/>
  <c r="M49" i="17"/>
  <c r="N49" i="17"/>
  <c r="O49" i="17"/>
  <c r="P49" i="17"/>
  <c r="Q49" i="17"/>
  <c r="L30" i="30" l="1"/>
  <c r="L28" i="30"/>
  <c r="L27" i="30"/>
  <c r="L26" i="30"/>
  <c r="L24" i="30"/>
  <c r="L16" i="30"/>
  <c r="L14" i="30"/>
  <c r="L13" i="30"/>
  <c r="L12" i="30"/>
  <c r="K30" i="30"/>
  <c r="K28" i="30"/>
  <c r="K27" i="30"/>
  <c r="K26" i="30"/>
  <c r="K24" i="30"/>
  <c r="K16" i="30"/>
  <c r="K14" i="30"/>
  <c r="K13" i="30"/>
  <c r="K12" i="30"/>
  <c r="M24" i="30" l="1"/>
  <c r="M26" i="30"/>
  <c r="M27" i="30"/>
  <c r="M28" i="30"/>
  <c r="M30" i="30"/>
  <c r="M12" i="30"/>
  <c r="M13" i="30"/>
  <c r="M14" i="30"/>
  <c r="M16" i="30"/>
  <c r="L8" i="30"/>
  <c r="M8" i="30"/>
  <c r="AE88" i="21"/>
  <c r="AF88" i="21"/>
  <c r="AF8" i="21"/>
  <c r="AG8" i="21" s="1"/>
  <c r="M25" i="30" l="1"/>
  <c r="L25" i="30"/>
  <c r="O25" i="21"/>
  <c r="P25" i="21" s="1"/>
  <c r="O80" i="21"/>
  <c r="P80" i="21"/>
  <c r="Q80" i="21"/>
  <c r="R80" i="21"/>
  <c r="S80" i="21"/>
  <c r="T80" i="21"/>
  <c r="U80" i="21"/>
  <c r="V80" i="21"/>
  <c r="W80" i="21"/>
  <c r="X80" i="21"/>
  <c r="Y80" i="21"/>
  <c r="Z80" i="21"/>
  <c r="AA80" i="21"/>
  <c r="AB80" i="21"/>
  <c r="O81" i="21"/>
  <c r="P81" i="21"/>
  <c r="Q81" i="21"/>
  <c r="R81" i="21"/>
  <c r="S81" i="21"/>
  <c r="T81" i="21"/>
  <c r="U81" i="21"/>
  <c r="V81" i="21"/>
  <c r="W81" i="21"/>
  <c r="X81" i="21"/>
  <c r="Y81" i="21"/>
  <c r="Z81" i="21"/>
  <c r="AA81" i="21"/>
  <c r="AB81" i="21"/>
  <c r="O82" i="21"/>
  <c r="P82" i="21"/>
  <c r="Q82" i="21"/>
  <c r="R82" i="21"/>
  <c r="S82" i="21"/>
  <c r="T82" i="21"/>
  <c r="U82" i="21"/>
  <c r="V82" i="21"/>
  <c r="W82" i="21"/>
  <c r="X82" i="21"/>
  <c r="Y82" i="21"/>
  <c r="Z82" i="21"/>
  <c r="AA82" i="21"/>
  <c r="AB82" i="21"/>
  <c r="O88" i="21"/>
  <c r="P88" i="21"/>
  <c r="Q88" i="21"/>
  <c r="R88" i="21"/>
  <c r="S88" i="21"/>
  <c r="T88" i="21"/>
  <c r="AC88" i="21"/>
  <c r="AD88" i="21"/>
  <c r="O46" i="21"/>
  <c r="P46" i="21"/>
  <c r="Q46" i="21"/>
  <c r="R46" i="21"/>
  <c r="S46" i="21"/>
  <c r="T46" i="21"/>
  <c r="U46" i="21"/>
  <c r="V46" i="21"/>
  <c r="W46" i="21"/>
  <c r="X46" i="21"/>
  <c r="Y46" i="21"/>
  <c r="Z46" i="21"/>
  <c r="AA46" i="21"/>
  <c r="AB46" i="21"/>
  <c r="AC46" i="21"/>
  <c r="AD46" i="21"/>
  <c r="AE46" i="21"/>
  <c r="AF46" i="21"/>
  <c r="AG46" i="21"/>
  <c r="O47" i="21"/>
  <c r="P47" i="21"/>
  <c r="Q47" i="21"/>
  <c r="R47" i="21"/>
  <c r="S47" i="21"/>
  <c r="T47" i="21"/>
  <c r="U47" i="21"/>
  <c r="V47" i="21"/>
  <c r="W47" i="21"/>
  <c r="X47" i="21"/>
  <c r="Y47" i="21"/>
  <c r="Z47" i="21"/>
  <c r="AA47" i="21"/>
  <c r="AB47" i="21"/>
  <c r="AC47" i="21"/>
  <c r="AD47" i="21"/>
  <c r="AE47" i="21"/>
  <c r="AF47" i="21"/>
  <c r="AG47" i="21"/>
  <c r="O49" i="21"/>
  <c r="P49" i="21"/>
  <c r="Q49" i="21"/>
  <c r="R49" i="21"/>
  <c r="S49" i="21"/>
  <c r="T49" i="21"/>
  <c r="U49" i="21"/>
  <c r="V49" i="21"/>
  <c r="W49" i="21"/>
  <c r="X49" i="21"/>
  <c r="Y49" i="21"/>
  <c r="Z49" i="21"/>
  <c r="AA49" i="21"/>
  <c r="AB49" i="21"/>
  <c r="AC49" i="21"/>
  <c r="AD49" i="21"/>
  <c r="AE49" i="21"/>
  <c r="AF49" i="21"/>
  <c r="AG49" i="21"/>
  <c r="O53" i="21"/>
  <c r="P53" i="21"/>
  <c r="Q53" i="21"/>
  <c r="R53" i="21"/>
  <c r="S53" i="21"/>
  <c r="T53" i="21"/>
  <c r="U53" i="21"/>
  <c r="V53" i="21"/>
  <c r="W53" i="21"/>
  <c r="X53" i="21"/>
  <c r="Y53" i="21"/>
  <c r="Z53" i="21"/>
  <c r="AA53" i="21"/>
  <c r="AB53" i="21"/>
  <c r="AC53" i="21"/>
  <c r="AD53" i="21"/>
  <c r="AE53" i="21"/>
  <c r="AF53" i="21"/>
  <c r="AG53" i="21"/>
  <c r="O54" i="21"/>
  <c r="P54" i="21"/>
  <c r="Q54" i="21"/>
  <c r="R54" i="21"/>
  <c r="S54" i="21"/>
  <c r="T54" i="21"/>
  <c r="U54" i="21"/>
  <c r="V54" i="21"/>
  <c r="W54" i="21"/>
  <c r="X54" i="21"/>
  <c r="Y54" i="21"/>
  <c r="Z54" i="21"/>
  <c r="AA54" i="21"/>
  <c r="AB54" i="21"/>
  <c r="AC54" i="21"/>
  <c r="AD54" i="21"/>
  <c r="AE54" i="21"/>
  <c r="AF54" i="21"/>
  <c r="AG54" i="21"/>
  <c r="O55" i="21"/>
  <c r="P55" i="21"/>
  <c r="Q55" i="21"/>
  <c r="R55" i="21"/>
  <c r="S55" i="21"/>
  <c r="T55" i="21"/>
  <c r="U55" i="21"/>
  <c r="V55" i="21"/>
  <c r="W55" i="21"/>
  <c r="X55" i="21"/>
  <c r="Y55" i="21"/>
  <c r="Z55" i="21"/>
  <c r="AA55" i="21"/>
  <c r="AB55" i="21"/>
  <c r="AC55" i="21"/>
  <c r="AD55" i="21"/>
  <c r="AE55" i="21"/>
  <c r="AF55" i="21"/>
  <c r="AG55" i="21"/>
  <c r="O56" i="21"/>
  <c r="P56" i="21"/>
  <c r="Q56" i="21"/>
  <c r="R56" i="21"/>
  <c r="S56" i="21"/>
  <c r="T56" i="21"/>
  <c r="U56" i="21"/>
  <c r="V56" i="21"/>
  <c r="W56" i="21"/>
  <c r="X56" i="21"/>
  <c r="Y56" i="21"/>
  <c r="Z56" i="21"/>
  <c r="AA56" i="21"/>
  <c r="AB56" i="21"/>
  <c r="AC56" i="21"/>
  <c r="AD56" i="21"/>
  <c r="AE56" i="21"/>
  <c r="AF56" i="21"/>
  <c r="AG56" i="21"/>
  <c r="O60" i="21"/>
  <c r="P60" i="21"/>
  <c r="Q60" i="21"/>
  <c r="R60" i="21"/>
  <c r="S60" i="21"/>
  <c r="T60" i="21"/>
  <c r="U60" i="21"/>
  <c r="V60" i="21"/>
  <c r="W60" i="21"/>
  <c r="X60" i="21"/>
  <c r="Y60" i="21"/>
  <c r="Z60" i="21"/>
  <c r="AA60" i="21"/>
  <c r="AB60" i="21"/>
  <c r="AC60" i="21"/>
  <c r="AD60" i="21"/>
  <c r="AE60" i="21"/>
  <c r="AF60" i="21"/>
  <c r="AG60" i="21"/>
  <c r="O61" i="21"/>
  <c r="P61" i="21"/>
  <c r="Q61" i="21"/>
  <c r="R61" i="21"/>
  <c r="S61" i="21"/>
  <c r="T61" i="21"/>
  <c r="U61" i="21"/>
  <c r="V61" i="21"/>
  <c r="W61" i="21"/>
  <c r="X61" i="21"/>
  <c r="Y61" i="21"/>
  <c r="Z61" i="21"/>
  <c r="AA61" i="21"/>
  <c r="AB61" i="21"/>
  <c r="AC61" i="21"/>
  <c r="AD61" i="21"/>
  <c r="AE61" i="21"/>
  <c r="AF61" i="21"/>
  <c r="AG61" i="21"/>
  <c r="O62" i="21"/>
  <c r="P62" i="21"/>
  <c r="Q62" i="21"/>
  <c r="R62" i="21"/>
  <c r="S62" i="21"/>
  <c r="T62" i="21"/>
  <c r="U62" i="21"/>
  <c r="V62" i="21"/>
  <c r="W62" i="21"/>
  <c r="X62" i="21"/>
  <c r="Y62" i="21"/>
  <c r="Z62" i="21"/>
  <c r="AA62" i="21"/>
  <c r="AB62" i="21"/>
  <c r="AC62" i="21"/>
  <c r="AD62" i="21"/>
  <c r="AE62" i="21"/>
  <c r="AF62" i="21"/>
  <c r="AG62" i="21"/>
  <c r="O63" i="21"/>
  <c r="P63" i="21"/>
  <c r="Q63" i="21"/>
  <c r="R63" i="21"/>
  <c r="S63" i="21"/>
  <c r="T63" i="21"/>
  <c r="U63" i="21"/>
  <c r="V63" i="21"/>
  <c r="W63" i="21"/>
  <c r="X63" i="21"/>
  <c r="Y63" i="21"/>
  <c r="Z63" i="21"/>
  <c r="AA63" i="21"/>
  <c r="AB63" i="21"/>
  <c r="AC63" i="21"/>
  <c r="AD63" i="21"/>
  <c r="AE63" i="21"/>
  <c r="AF63" i="21"/>
  <c r="AG63" i="21"/>
  <c r="O40" i="21"/>
  <c r="P40" i="21"/>
  <c r="Q40" i="21"/>
  <c r="R40" i="21"/>
  <c r="S40" i="21"/>
  <c r="T40" i="21"/>
  <c r="U40" i="21"/>
  <c r="V40" i="21"/>
  <c r="W40" i="21"/>
  <c r="X40" i="21"/>
  <c r="Y40" i="21"/>
  <c r="Z40" i="21"/>
  <c r="AA40" i="21"/>
  <c r="AB40" i="21"/>
  <c r="AC40" i="21"/>
  <c r="AD40" i="21"/>
  <c r="AE40" i="21"/>
  <c r="AF40" i="21"/>
  <c r="AG40" i="21"/>
  <c r="O41" i="21"/>
  <c r="P41" i="21"/>
  <c r="Q41" i="21"/>
  <c r="R41" i="21"/>
  <c r="S41" i="21"/>
  <c r="T41" i="21"/>
  <c r="U41" i="21"/>
  <c r="V41" i="21"/>
  <c r="W41" i="21"/>
  <c r="X41" i="21"/>
  <c r="Y41" i="21"/>
  <c r="Z41" i="21"/>
  <c r="AA41" i="21"/>
  <c r="AB41" i="21"/>
  <c r="AC41" i="21"/>
  <c r="AD41" i="21"/>
  <c r="AE41" i="21"/>
  <c r="AF41" i="21"/>
  <c r="AG41" i="21"/>
  <c r="O42" i="21"/>
  <c r="P42" i="21"/>
  <c r="Q42" i="21"/>
  <c r="R42" i="21"/>
  <c r="S42" i="21"/>
  <c r="T42" i="21"/>
  <c r="U42" i="21"/>
  <c r="V42" i="21"/>
  <c r="W42" i="21"/>
  <c r="X42" i="21"/>
  <c r="Y42" i="21"/>
  <c r="Z42" i="21"/>
  <c r="AA42" i="21"/>
  <c r="AB42" i="21"/>
  <c r="AC42" i="21"/>
  <c r="AD42" i="21"/>
  <c r="AE42" i="21"/>
  <c r="AF42" i="21"/>
  <c r="AG42" i="21"/>
  <c r="O43" i="21"/>
  <c r="P43" i="21"/>
  <c r="Q43" i="21"/>
  <c r="R43" i="21"/>
  <c r="S43" i="21"/>
  <c r="T43" i="21"/>
  <c r="U43" i="21"/>
  <c r="V43" i="21"/>
  <c r="W43" i="21"/>
  <c r="X43" i="21"/>
  <c r="Y43" i="21"/>
  <c r="Z43" i="21"/>
  <c r="AA43" i="21"/>
  <c r="AB43" i="21"/>
  <c r="AC43" i="21"/>
  <c r="AD43" i="21"/>
  <c r="AE43" i="21"/>
  <c r="AF43" i="21"/>
  <c r="AG43" i="21"/>
  <c r="N23" i="21"/>
  <c r="L31" i="16"/>
  <c r="N11" i="21"/>
  <c r="P8" i="21"/>
  <c r="Q8" i="21" s="1"/>
  <c r="R8" i="21" s="1"/>
  <c r="S8" i="21" s="1"/>
  <c r="T8" i="21" s="1"/>
  <c r="U8" i="21" s="1"/>
  <c r="V8" i="21" s="1"/>
  <c r="W8" i="21" s="1"/>
  <c r="X8" i="21" s="1"/>
  <c r="Y8" i="21" s="1"/>
  <c r="Z8" i="21" s="1"/>
  <c r="AA8" i="21" s="1"/>
  <c r="AB8" i="21" s="1"/>
  <c r="AC8" i="21" s="1"/>
  <c r="AD8" i="21" s="1"/>
  <c r="AE8" i="21" s="1"/>
  <c r="O9" i="21"/>
  <c r="P9" i="21" s="1"/>
  <c r="Q9" i="21" s="1"/>
  <c r="O8" i="21"/>
  <c r="O11" i="21" l="1"/>
  <c r="O23" i="21"/>
  <c r="P23" i="21"/>
  <c r="R9" i="21"/>
  <c r="Q25" i="21"/>
  <c r="R25" i="21" s="1"/>
  <c r="Q11" i="21"/>
  <c r="P11" i="21"/>
  <c r="S9" i="21" l="1"/>
  <c r="R11" i="21"/>
  <c r="Q23" i="21"/>
  <c r="S25" i="21"/>
  <c r="R23" i="21" l="1"/>
  <c r="T9" i="21"/>
  <c r="S11" i="21"/>
  <c r="T25" i="21"/>
  <c r="U9" i="21" l="1"/>
  <c r="T11" i="21"/>
  <c r="S23" i="21"/>
  <c r="U25" i="21"/>
  <c r="T23" i="21" l="1"/>
  <c r="V9" i="21"/>
  <c r="U11" i="21"/>
  <c r="K10" i="30" s="1"/>
  <c r="V25" i="21"/>
  <c r="W9" i="21" l="1"/>
  <c r="V11" i="21"/>
  <c r="U23" i="21"/>
  <c r="W25" i="21"/>
  <c r="K15" i="30" l="1"/>
  <c r="K29" i="30"/>
  <c r="V23" i="21"/>
  <c r="X9" i="21"/>
  <c r="W11" i="21"/>
  <c r="X25" i="21"/>
  <c r="Y9" i="21" l="1"/>
  <c r="X11" i="21"/>
  <c r="W23" i="21"/>
  <c r="Y25" i="21"/>
  <c r="X23" i="21" l="1"/>
  <c r="Z9" i="21"/>
  <c r="Y11" i="21"/>
  <c r="Z25" i="21"/>
  <c r="AA9" i="21" l="1"/>
  <c r="Z11" i="21"/>
  <c r="Y23" i="21"/>
  <c r="AA25" i="21"/>
  <c r="Z23" i="21" l="1"/>
  <c r="AB9" i="21"/>
  <c r="AA11" i="21"/>
  <c r="AB25" i="21"/>
  <c r="AC9" i="21" l="1"/>
  <c r="AB11" i="21"/>
  <c r="L10" i="30" s="1"/>
  <c r="L11" i="30" s="1"/>
  <c r="L38" i="30" s="1"/>
  <c r="AA23" i="21"/>
  <c r="AC25" i="21"/>
  <c r="AB23" i="21" l="1"/>
  <c r="AD9" i="21"/>
  <c r="AC11" i="21"/>
  <c r="AD25" i="21"/>
  <c r="L15" i="30" l="1"/>
  <c r="L29" i="30"/>
  <c r="AE9" i="21"/>
  <c r="AF9" i="21" s="1"/>
  <c r="AD11" i="21"/>
  <c r="AC23" i="21"/>
  <c r="AE25" i="21"/>
  <c r="AF25" i="21" s="1"/>
  <c r="AG25" i="21" s="1"/>
  <c r="AG9" i="21" l="1"/>
  <c r="AG11" i="21" s="1"/>
  <c r="M10" i="30" s="1"/>
  <c r="M11" i="30" s="1"/>
  <c r="M38" i="30" s="1"/>
  <c r="AF11" i="21"/>
  <c r="AD23" i="21"/>
  <c r="AE11" i="21"/>
  <c r="AE23" i="21" l="1"/>
  <c r="AF23" i="21" l="1"/>
  <c r="AG23" i="21" l="1"/>
  <c r="M15" i="30" l="1"/>
  <c r="M29" i="30"/>
  <c r="J138" i="15" l="1"/>
  <c r="J136" i="15"/>
  <c r="J137" i="15"/>
  <c r="J135" i="15"/>
  <c r="J81" i="15"/>
  <c r="J80" i="15"/>
  <c r="J79" i="15"/>
  <c r="J78" i="15"/>
  <c r="J77" i="15"/>
  <c r="J76" i="15"/>
  <c r="J75" i="15"/>
  <c r="J74" i="15"/>
  <c r="J73" i="15"/>
  <c r="J72" i="15"/>
  <c r="J71" i="15"/>
  <c r="J70" i="15"/>
  <c r="J69" i="15"/>
  <c r="J68" i="15"/>
  <c r="J67" i="15"/>
  <c r="J66" i="15"/>
  <c r="J65" i="15"/>
  <c r="J64" i="15"/>
  <c r="J63" i="15"/>
  <c r="J62" i="15"/>
  <c r="J61" i="15"/>
  <c r="J60" i="15"/>
  <c r="J59" i="15"/>
  <c r="J58" i="15"/>
  <c r="J57" i="15"/>
  <c r="J56" i="15"/>
  <c r="J55" i="15"/>
  <c r="J54" i="15"/>
  <c r="J53" i="15"/>
  <c r="J52" i="15"/>
  <c r="J51" i="15"/>
  <c r="J50" i="15"/>
  <c r="J49" i="15"/>
  <c r="J48" i="15"/>
  <c r="J47" i="15"/>
  <c r="J11" i="15" l="1"/>
  <c r="J38" i="15"/>
  <c r="J39" i="15"/>
  <c r="J40" i="15"/>
  <c r="J41" i="15"/>
  <c r="J42" i="15"/>
  <c r="J43" i="15"/>
  <c r="J44" i="15"/>
  <c r="J45" i="15"/>
  <c r="J37" i="15"/>
  <c r="J23" i="15"/>
  <c r="J24" i="15"/>
  <c r="J25" i="15"/>
  <c r="J26" i="15"/>
  <c r="J27" i="15"/>
  <c r="J28" i="15"/>
  <c r="J29" i="15"/>
  <c r="J30" i="15"/>
  <c r="J22" i="15"/>
  <c r="J12" i="15"/>
  <c r="J13" i="15"/>
  <c r="J14" i="15"/>
  <c r="J15" i="15"/>
  <c r="J16" i="15"/>
  <c r="J17" i="15"/>
  <c r="J18" i="15"/>
  <c r="J19" i="15"/>
  <c r="J20" i="15"/>
  <c r="J21" i="15"/>
  <c r="J31" i="15"/>
  <c r="J32" i="15"/>
  <c r="J33" i="15"/>
  <c r="J34" i="15"/>
  <c r="J35" i="15"/>
  <c r="J36" i="15"/>
  <c r="S49" i="17" l="1"/>
  <c r="R49" i="17"/>
  <c r="M52" i="17"/>
  <c r="N52" i="17"/>
  <c r="O52" i="17"/>
  <c r="P52" i="17"/>
  <c r="Q52" i="17"/>
  <c r="R52" i="17"/>
  <c r="S52" i="17"/>
  <c r="L52" i="17"/>
  <c r="P48" i="17"/>
  <c r="F39" i="21" l="1"/>
  <c r="J38" i="19"/>
  <c r="K38" i="19"/>
  <c r="L38" i="19"/>
  <c r="M38" i="19"/>
  <c r="N38" i="19"/>
  <c r="O38" i="19"/>
  <c r="P38" i="19"/>
  <c r="Q38" i="19"/>
  <c r="U88" i="21" s="1"/>
  <c r="R38" i="19"/>
  <c r="V88" i="21" s="1"/>
  <c r="S38" i="19"/>
  <c r="W88" i="21" s="1"/>
  <c r="T38" i="19"/>
  <c r="X88" i="21" s="1"/>
  <c r="U38" i="19"/>
  <c r="Y88" i="21" s="1"/>
  <c r="V38" i="19"/>
  <c r="Z88" i="21" s="1"/>
  <c r="W38" i="19"/>
  <c r="AA88" i="21" s="1"/>
  <c r="G48" i="17"/>
  <c r="G53" i="17" s="1"/>
  <c r="H48" i="17"/>
  <c r="H53" i="17" s="1"/>
  <c r="I48" i="17"/>
  <c r="I53" i="17" s="1"/>
  <c r="J48" i="17"/>
  <c r="J53" i="17" s="1"/>
  <c r="K48" i="17"/>
  <c r="K53" i="17" s="1"/>
  <c r="L48" i="17"/>
  <c r="L53" i="17" s="1"/>
  <c r="M48" i="17"/>
  <c r="M53" i="17" s="1"/>
  <c r="N48" i="17"/>
  <c r="N53" i="17" s="1"/>
  <c r="O48" i="17"/>
  <c r="O53" i="17" s="1"/>
  <c r="P53" i="17"/>
  <c r="Q48" i="17"/>
  <c r="Q53" i="17" s="1"/>
  <c r="U39" i="21" l="1"/>
  <c r="AC39" i="21"/>
  <c r="Y39" i="21"/>
  <c r="S39" i="21"/>
  <c r="V39" i="21"/>
  <c r="AD39" i="21"/>
  <c r="AA39" i="21"/>
  <c r="AB39" i="21"/>
  <c r="O39" i="21"/>
  <c r="W39" i="21"/>
  <c r="AE39" i="21"/>
  <c r="AF39" i="21"/>
  <c r="P39" i="21"/>
  <c r="X39" i="21"/>
  <c r="Q39" i="21"/>
  <c r="T39" i="21"/>
  <c r="R39" i="21"/>
  <c r="Z39" i="21"/>
  <c r="AG39" i="21"/>
  <c r="L11" i="20"/>
  <c r="N62" i="21" l="1"/>
  <c r="N63" i="21"/>
  <c r="F45" i="17"/>
  <c r="F44" i="17"/>
  <c r="I67" i="19" s="1"/>
  <c r="X38" i="19"/>
  <c r="AB88" i="21" s="1"/>
  <c r="AB38" i="19"/>
  <c r="AC38" i="19"/>
  <c r="N88" i="21"/>
  <c r="G8" i="30"/>
  <c r="J10" i="30"/>
  <c r="C33" i="21"/>
  <c r="C34" i="21"/>
  <c r="G36" i="21"/>
  <c r="L36" i="21"/>
  <c r="M36" i="21"/>
  <c r="N36" i="21"/>
  <c r="AC36" i="21"/>
  <c r="AD36" i="21"/>
  <c r="AE36" i="21"/>
  <c r="AF36" i="21"/>
  <c r="AG36" i="21"/>
  <c r="E37" i="21"/>
  <c r="E38" i="21" s="1"/>
  <c r="E39" i="21" s="1"/>
  <c r="G37" i="21"/>
  <c r="L37" i="21"/>
  <c r="M37" i="21"/>
  <c r="N37" i="21"/>
  <c r="AC37" i="21"/>
  <c r="AD37" i="21"/>
  <c r="AE37" i="21"/>
  <c r="AF37" i="21"/>
  <c r="AG37" i="21"/>
  <c r="G38" i="21"/>
  <c r="L38" i="21"/>
  <c r="M38" i="21"/>
  <c r="N38" i="21"/>
  <c r="AC38" i="21"/>
  <c r="AD38" i="21"/>
  <c r="AE38" i="21"/>
  <c r="AF38" i="21"/>
  <c r="AG38" i="21"/>
  <c r="G39" i="21"/>
  <c r="L39" i="21"/>
  <c r="M39" i="21"/>
  <c r="N39" i="21"/>
  <c r="G40" i="21"/>
  <c r="L40" i="21"/>
  <c r="M40" i="21"/>
  <c r="N40" i="21"/>
  <c r="E41" i="21"/>
  <c r="G41" i="21"/>
  <c r="L41" i="21"/>
  <c r="M41" i="21"/>
  <c r="N41" i="21"/>
  <c r="G42" i="21"/>
  <c r="L42" i="21"/>
  <c r="M42" i="21"/>
  <c r="N42" i="21"/>
  <c r="G43" i="21"/>
  <c r="L43" i="21"/>
  <c r="M43" i="21"/>
  <c r="N43" i="21"/>
  <c r="C45" i="21"/>
  <c r="D45" i="21"/>
  <c r="C46" i="21"/>
  <c r="D46" i="21"/>
  <c r="G46" i="21"/>
  <c r="L46" i="21"/>
  <c r="M46" i="21"/>
  <c r="N46" i="21"/>
  <c r="C47" i="21"/>
  <c r="D47" i="21"/>
  <c r="G47" i="21"/>
  <c r="L47" i="21"/>
  <c r="M47" i="21"/>
  <c r="N47" i="21"/>
  <c r="C48" i="21"/>
  <c r="D48" i="21"/>
  <c r="C49" i="21"/>
  <c r="D49" i="21"/>
  <c r="G49" i="21"/>
  <c r="L49" i="21"/>
  <c r="M49" i="21"/>
  <c r="N49" i="21"/>
  <c r="C50" i="21"/>
  <c r="D50" i="21"/>
  <c r="C51" i="21"/>
  <c r="D51" i="21"/>
  <c r="C52" i="21"/>
  <c r="D52" i="21"/>
  <c r="C53" i="21"/>
  <c r="D53" i="21"/>
  <c r="G53" i="21"/>
  <c r="L53" i="21"/>
  <c r="M53" i="21"/>
  <c r="N53" i="21"/>
  <c r="C54" i="21"/>
  <c r="D54" i="21"/>
  <c r="G54" i="21"/>
  <c r="L54" i="21"/>
  <c r="M54" i="21"/>
  <c r="N54" i="21"/>
  <c r="C55" i="21"/>
  <c r="D55" i="21"/>
  <c r="G55" i="21"/>
  <c r="L55" i="21"/>
  <c r="M55" i="21"/>
  <c r="N55" i="21"/>
  <c r="C56" i="21"/>
  <c r="D56" i="21"/>
  <c r="G56" i="21"/>
  <c r="L56" i="21"/>
  <c r="M56" i="21"/>
  <c r="N56" i="21"/>
  <c r="C57" i="21"/>
  <c r="D57" i="21"/>
  <c r="C58" i="21"/>
  <c r="D58" i="21"/>
  <c r="C59" i="21"/>
  <c r="D59" i="21"/>
  <c r="C60" i="21"/>
  <c r="D60" i="21"/>
  <c r="G60" i="21"/>
  <c r="L60" i="21"/>
  <c r="M60" i="21"/>
  <c r="N60" i="21"/>
  <c r="C61" i="21"/>
  <c r="D61" i="21"/>
  <c r="G61" i="21"/>
  <c r="L61" i="21"/>
  <c r="M61" i="21"/>
  <c r="N61" i="21"/>
  <c r="C62" i="21"/>
  <c r="D62" i="21"/>
  <c r="G62" i="21"/>
  <c r="L62" i="21"/>
  <c r="M62" i="21"/>
  <c r="C63" i="21"/>
  <c r="D63" i="21"/>
  <c r="G63" i="21"/>
  <c r="L63" i="21"/>
  <c r="M63" i="21"/>
  <c r="C64" i="21"/>
  <c r="D64" i="21"/>
  <c r="C65" i="21"/>
  <c r="D65" i="21"/>
  <c r="C66" i="21"/>
  <c r="D66" i="21"/>
  <c r="C67" i="21"/>
  <c r="D67" i="21"/>
  <c r="S2" i="17"/>
  <c r="B2" i="17"/>
  <c r="G2" i="18"/>
  <c r="B2" i="18"/>
  <c r="AC2" i="19"/>
  <c r="B2" i="19"/>
  <c r="M2" i="20"/>
  <c r="B2" i="20"/>
  <c r="AG2" i="21"/>
  <c r="B2" i="21"/>
  <c r="M2" i="30"/>
  <c r="B2" i="30"/>
  <c r="P2" i="26"/>
  <c r="B2" i="26"/>
  <c r="B2" i="16"/>
  <c r="D22" i="19"/>
  <c r="D54" i="19" s="1"/>
  <c r="D9" i="19"/>
  <c r="D41" i="19" s="1"/>
  <c r="D9" i="18"/>
  <c r="D22" i="18"/>
  <c r="F16" i="17"/>
  <c r="I41" i="19" s="1"/>
  <c r="F17" i="17"/>
  <c r="F18" i="17"/>
  <c r="I43" i="19" s="1"/>
  <c r="F19" i="17"/>
  <c r="I44" i="19" s="1"/>
  <c r="J44" i="19" s="1"/>
  <c r="K44" i="19" s="1"/>
  <c r="L44" i="19" s="1"/>
  <c r="M44" i="19" s="1"/>
  <c r="N44" i="19" s="1"/>
  <c r="O44" i="19" s="1"/>
  <c r="P44" i="19" s="1"/>
  <c r="Q44" i="19" s="1"/>
  <c r="R44" i="19" s="1"/>
  <c r="S44" i="19" s="1"/>
  <c r="T44" i="19" s="1"/>
  <c r="U44" i="19" s="1"/>
  <c r="V44" i="19" s="1"/>
  <c r="W44" i="19" s="1"/>
  <c r="X44" i="19" s="1"/>
  <c r="Y44" i="19" s="1"/>
  <c r="Z44" i="19" s="1"/>
  <c r="AA44" i="19" s="1"/>
  <c r="AB44" i="19" s="1"/>
  <c r="AC44" i="19" s="1"/>
  <c r="F20" i="17"/>
  <c r="I45" i="19" s="1"/>
  <c r="J45" i="19" s="1"/>
  <c r="K45" i="19" s="1"/>
  <c r="L45" i="19" s="1"/>
  <c r="M45" i="19" s="1"/>
  <c r="N45" i="19" s="1"/>
  <c r="O45" i="19" s="1"/>
  <c r="P45" i="19" s="1"/>
  <c r="Q45" i="19" s="1"/>
  <c r="R45" i="19" s="1"/>
  <c r="S45" i="19" s="1"/>
  <c r="T45" i="19" s="1"/>
  <c r="U45" i="19" s="1"/>
  <c r="V45" i="19" s="1"/>
  <c r="W45" i="19" s="1"/>
  <c r="X45" i="19" s="1"/>
  <c r="Y45" i="19" s="1"/>
  <c r="Z45" i="19" s="1"/>
  <c r="AA45" i="19" s="1"/>
  <c r="AB45" i="19" s="1"/>
  <c r="AC45" i="19" s="1"/>
  <c r="F21" i="17"/>
  <c r="I46" i="19" s="1"/>
  <c r="F22" i="17"/>
  <c r="I47" i="19" s="1"/>
  <c r="J47" i="19" s="1"/>
  <c r="K47" i="19" s="1"/>
  <c r="L47" i="19" s="1"/>
  <c r="M47" i="19" s="1"/>
  <c r="N47" i="19" s="1"/>
  <c r="O47" i="19" s="1"/>
  <c r="P47" i="19" s="1"/>
  <c r="Q47" i="19" s="1"/>
  <c r="R47" i="19" s="1"/>
  <c r="S47" i="19" s="1"/>
  <c r="T47" i="19" s="1"/>
  <c r="U47" i="19" s="1"/>
  <c r="V47" i="19" s="1"/>
  <c r="W47" i="19" s="1"/>
  <c r="X47" i="19" s="1"/>
  <c r="Y47" i="19" s="1"/>
  <c r="Z47" i="19" s="1"/>
  <c r="AA47" i="19" s="1"/>
  <c r="AB47" i="19" s="1"/>
  <c r="AC47" i="19" s="1"/>
  <c r="F23" i="17"/>
  <c r="I48" i="19" s="1"/>
  <c r="F24" i="17"/>
  <c r="I49" i="19" s="1"/>
  <c r="F25" i="17"/>
  <c r="I50" i="19" s="1"/>
  <c r="J50" i="19" s="1"/>
  <c r="K50" i="19" s="1"/>
  <c r="L50" i="19" s="1"/>
  <c r="M50" i="19" s="1"/>
  <c r="N50" i="19" s="1"/>
  <c r="O50" i="19" s="1"/>
  <c r="P50" i="19" s="1"/>
  <c r="Q50" i="19" s="1"/>
  <c r="R50" i="19" s="1"/>
  <c r="S50" i="19" s="1"/>
  <c r="T50" i="19" s="1"/>
  <c r="U50" i="19" s="1"/>
  <c r="V50" i="19" s="1"/>
  <c r="W50" i="19" s="1"/>
  <c r="X50" i="19" s="1"/>
  <c r="Y50" i="19" s="1"/>
  <c r="Z50" i="19" s="1"/>
  <c r="AA50" i="19" s="1"/>
  <c r="AB50" i="19" s="1"/>
  <c r="AC50" i="19" s="1"/>
  <c r="F26" i="17"/>
  <c r="I51" i="19" s="1"/>
  <c r="F27" i="17"/>
  <c r="F28" i="17"/>
  <c r="I53" i="19" s="1"/>
  <c r="J53" i="19" s="1"/>
  <c r="K53" i="19" s="1"/>
  <c r="L53" i="19" s="1"/>
  <c r="M53" i="19" s="1"/>
  <c r="N53" i="19" s="1"/>
  <c r="O53" i="19" s="1"/>
  <c r="P53" i="19" s="1"/>
  <c r="Q53" i="19" s="1"/>
  <c r="R53" i="19" s="1"/>
  <c r="S53" i="19" s="1"/>
  <c r="T53" i="19" s="1"/>
  <c r="U53" i="19" s="1"/>
  <c r="V53" i="19" s="1"/>
  <c r="W53" i="19" s="1"/>
  <c r="X53" i="19" s="1"/>
  <c r="Y53" i="19" s="1"/>
  <c r="Z53" i="19" s="1"/>
  <c r="AA53" i="19" s="1"/>
  <c r="AB53" i="19" s="1"/>
  <c r="AC53" i="19" s="1"/>
  <c r="F29" i="17"/>
  <c r="I54" i="19" s="1"/>
  <c r="J54" i="19" s="1"/>
  <c r="K54" i="19" s="1"/>
  <c r="L54" i="19" s="1"/>
  <c r="M54" i="19" s="1"/>
  <c r="N54" i="19" s="1"/>
  <c r="O54" i="19" s="1"/>
  <c r="P54" i="19" s="1"/>
  <c r="Q54" i="19" s="1"/>
  <c r="R54" i="19" s="1"/>
  <c r="S54" i="19" s="1"/>
  <c r="T54" i="19" s="1"/>
  <c r="U54" i="19" s="1"/>
  <c r="V54" i="19" s="1"/>
  <c r="W54" i="19" s="1"/>
  <c r="X54" i="19" s="1"/>
  <c r="Y54" i="19" s="1"/>
  <c r="Z54" i="19" s="1"/>
  <c r="AA54" i="19" s="1"/>
  <c r="AB54" i="19" s="1"/>
  <c r="AC54" i="19" s="1"/>
  <c r="F30" i="17"/>
  <c r="I55" i="19" s="1"/>
  <c r="J13" i="30"/>
  <c r="J14" i="30"/>
  <c r="J15" i="30"/>
  <c r="J16" i="30"/>
  <c r="J12" i="30"/>
  <c r="J27" i="30"/>
  <c r="J28" i="30"/>
  <c r="J29" i="30"/>
  <c r="J30" i="30"/>
  <c r="J26" i="30"/>
  <c r="J24" i="30"/>
  <c r="K8" i="30"/>
  <c r="K25" i="30" s="1"/>
  <c r="J8" i="30"/>
  <c r="I8" i="30"/>
  <c r="H8" i="30"/>
  <c r="D81" i="15"/>
  <c r="D80" i="15"/>
  <c r="D73" i="15"/>
  <c r="D66" i="15"/>
  <c r="D65" i="15"/>
  <c r="D64" i="15"/>
  <c r="D57" i="15"/>
  <c r="D54" i="15"/>
  <c r="D48" i="15"/>
  <c r="C81" i="15"/>
  <c r="C80" i="15"/>
  <c r="C79" i="15"/>
  <c r="C78" i="15"/>
  <c r="C77" i="15"/>
  <c r="C76" i="15"/>
  <c r="C75" i="15"/>
  <c r="C74" i="15"/>
  <c r="C73" i="15"/>
  <c r="C72" i="15"/>
  <c r="C71" i="15"/>
  <c r="C70" i="15"/>
  <c r="C69" i="15"/>
  <c r="C68" i="15"/>
  <c r="C67" i="15"/>
  <c r="C66" i="15"/>
  <c r="C65" i="15"/>
  <c r="C64" i="15"/>
  <c r="C63" i="15"/>
  <c r="C62" i="15"/>
  <c r="C61" i="15"/>
  <c r="C60" i="15"/>
  <c r="C59" i="15"/>
  <c r="C58" i="15"/>
  <c r="C57" i="15"/>
  <c r="C56" i="15"/>
  <c r="C55" i="15"/>
  <c r="C54" i="15"/>
  <c r="C53" i="15"/>
  <c r="C52" i="15"/>
  <c r="C51" i="15"/>
  <c r="C50" i="15"/>
  <c r="C49" i="15"/>
  <c r="C48" i="15"/>
  <c r="D36" i="19"/>
  <c r="D68" i="19" s="1"/>
  <c r="D37" i="19"/>
  <c r="D69" i="19" s="1"/>
  <c r="D39" i="18"/>
  <c r="D38" i="18"/>
  <c r="P16" i="26"/>
  <c r="O16" i="26"/>
  <c r="N16" i="26"/>
  <c r="M16" i="26"/>
  <c r="L16" i="26"/>
  <c r="K16" i="26"/>
  <c r="Q43" i="23"/>
  <c r="P41" i="23"/>
  <c r="O13" i="23"/>
  <c r="P13" i="23" s="1"/>
  <c r="Q41" i="23"/>
  <c r="Q8" i="23"/>
  <c r="P9" i="23"/>
  <c r="R9" i="23"/>
  <c r="H23" i="23"/>
  <c r="H22" i="23"/>
  <c r="I22" i="23" s="1"/>
  <c r="J22" i="23" s="1"/>
  <c r="K22" i="23" s="1"/>
  <c r="L22" i="23" s="1"/>
  <c r="M22" i="23" s="1"/>
  <c r="N22" i="23" s="1"/>
  <c r="O22" i="23" s="1"/>
  <c r="P22" i="23" s="1"/>
  <c r="M22" i="20"/>
  <c r="L22" i="20"/>
  <c r="L24" i="20" s="1"/>
  <c r="K22" i="20"/>
  <c r="J22" i="20"/>
  <c r="J24" i="20" s="1"/>
  <c r="I22" i="20"/>
  <c r="I24" i="20" s="1"/>
  <c r="H22" i="20"/>
  <c r="H24" i="20" s="1"/>
  <c r="G22" i="20"/>
  <c r="G24" i="20" s="1"/>
  <c r="F22" i="20"/>
  <c r="F24" i="20" s="1"/>
  <c r="E22" i="20"/>
  <c r="E24" i="20" s="1"/>
  <c r="K24" i="20"/>
  <c r="M24" i="20"/>
  <c r="D50" i="23"/>
  <c r="D49" i="23"/>
  <c r="D48" i="23"/>
  <c r="O47" i="23"/>
  <c r="P47" i="23" s="1"/>
  <c r="D47" i="23"/>
  <c r="D46" i="23"/>
  <c r="O43" i="23"/>
  <c r="P43" i="23" s="1"/>
  <c r="O42" i="23"/>
  <c r="P42" i="23" s="1"/>
  <c r="O41" i="23"/>
  <c r="O40" i="23"/>
  <c r="I38" i="23"/>
  <c r="J38" i="23" s="1"/>
  <c r="K38" i="23"/>
  <c r="L38" i="23" s="1"/>
  <c r="M38" i="23" s="1"/>
  <c r="N38" i="23" s="1"/>
  <c r="O38" i="23" s="1"/>
  <c r="P38" i="23" s="1"/>
  <c r="H37" i="23"/>
  <c r="I37" i="23" s="1"/>
  <c r="J37" i="23" s="1"/>
  <c r="K37" i="23" s="1"/>
  <c r="L37" i="23" s="1"/>
  <c r="M37" i="23" s="1"/>
  <c r="N37" i="23" s="1"/>
  <c r="O37" i="23" s="1"/>
  <c r="P37" i="23" s="1"/>
  <c r="J36" i="23"/>
  <c r="K36" i="23" s="1"/>
  <c r="L36" i="23" s="1"/>
  <c r="M36" i="23" s="1"/>
  <c r="N36" i="23" s="1"/>
  <c r="O36" i="23" s="1"/>
  <c r="P36" i="23" s="1"/>
  <c r="H36" i="23"/>
  <c r="I36" i="23" s="1"/>
  <c r="H35" i="23"/>
  <c r="I35" i="23" s="1"/>
  <c r="J35" i="23"/>
  <c r="K35" i="23" s="1"/>
  <c r="L35" i="23" s="1"/>
  <c r="M35" i="23" s="1"/>
  <c r="N35" i="23" s="1"/>
  <c r="O35" i="23" s="1"/>
  <c r="P35" i="23" s="1"/>
  <c r="R35" i="23" s="1"/>
  <c r="I34" i="23"/>
  <c r="J34" i="23" s="1"/>
  <c r="K34" i="23" s="1"/>
  <c r="L34" i="23" s="1"/>
  <c r="M34" i="23" s="1"/>
  <c r="N34" i="23" s="1"/>
  <c r="O34" i="23" s="1"/>
  <c r="P34" i="23" s="1"/>
  <c r="I33" i="23"/>
  <c r="J33" i="23"/>
  <c r="K33" i="23" s="1"/>
  <c r="L33" i="23" s="1"/>
  <c r="M33" i="23" s="1"/>
  <c r="N33" i="23" s="1"/>
  <c r="O33" i="23" s="1"/>
  <c r="P33" i="23" s="1"/>
  <c r="I32" i="23"/>
  <c r="J32" i="23" s="1"/>
  <c r="K32" i="23" s="1"/>
  <c r="L32" i="23"/>
  <c r="M32" i="23" s="1"/>
  <c r="N32" i="23" s="1"/>
  <c r="O32" i="23" s="1"/>
  <c r="P32" i="23" s="1"/>
  <c r="L31" i="23"/>
  <c r="M31" i="23" s="1"/>
  <c r="N31" i="23" s="1"/>
  <c r="O31" i="23" s="1"/>
  <c r="P31" i="23" s="1"/>
  <c r="H31" i="23"/>
  <c r="I31" i="23" s="1"/>
  <c r="J31" i="23" s="1"/>
  <c r="K31" i="23" s="1"/>
  <c r="I30" i="23"/>
  <c r="J30" i="23"/>
  <c r="K30" i="23"/>
  <c r="L30" i="23" s="1"/>
  <c r="M30" i="23" s="1"/>
  <c r="N30" i="23" s="1"/>
  <c r="O30" i="23" s="1"/>
  <c r="P30" i="23" s="1"/>
  <c r="H29" i="23"/>
  <c r="I29" i="23"/>
  <c r="J29" i="23" s="1"/>
  <c r="K29" i="23"/>
  <c r="L29" i="23" s="1"/>
  <c r="M29" i="23" s="1"/>
  <c r="N29" i="23" s="1"/>
  <c r="O29" i="23" s="1"/>
  <c r="P29" i="23" s="1"/>
  <c r="K28" i="23"/>
  <c r="L28" i="23" s="1"/>
  <c r="M28" i="23" s="1"/>
  <c r="N28" i="23" s="1"/>
  <c r="O28" i="23" s="1"/>
  <c r="P28" i="23" s="1"/>
  <c r="H28" i="23"/>
  <c r="I28" i="23" s="1"/>
  <c r="J28" i="23" s="1"/>
  <c r="I27" i="23"/>
  <c r="J27" i="23"/>
  <c r="K27" i="23" s="1"/>
  <c r="L27" i="23" s="1"/>
  <c r="M27" i="23" s="1"/>
  <c r="N27" i="23" s="1"/>
  <c r="O27" i="23" s="1"/>
  <c r="P27" i="23" s="1"/>
  <c r="I26" i="23"/>
  <c r="J26" i="23"/>
  <c r="K26" i="23" s="1"/>
  <c r="L26" i="23" s="1"/>
  <c r="M26" i="23" s="1"/>
  <c r="N26" i="23" s="1"/>
  <c r="O26" i="23" s="1"/>
  <c r="P26" i="23" s="1"/>
  <c r="I25" i="23"/>
  <c r="J25" i="23"/>
  <c r="K25" i="23" s="1"/>
  <c r="L25" i="23" s="1"/>
  <c r="M25" i="23" s="1"/>
  <c r="N25" i="23" s="1"/>
  <c r="O25" i="23" s="1"/>
  <c r="P25" i="23" s="1"/>
  <c r="H24" i="23"/>
  <c r="I24" i="23"/>
  <c r="J24" i="23" s="1"/>
  <c r="K24" i="23"/>
  <c r="L24" i="23" s="1"/>
  <c r="M24" i="23" s="1"/>
  <c r="N24" i="23" s="1"/>
  <c r="O24" i="23" s="1"/>
  <c r="P24" i="23" s="1"/>
  <c r="I23" i="23"/>
  <c r="J23" i="23"/>
  <c r="K23" i="23" s="1"/>
  <c r="L23" i="23" s="1"/>
  <c r="M23" i="23" s="1"/>
  <c r="N23" i="23" s="1"/>
  <c r="O23" i="23" s="1"/>
  <c r="P23" i="23" s="1"/>
  <c r="I21" i="23"/>
  <c r="J21" i="23"/>
  <c r="K21" i="23" s="1"/>
  <c r="L21" i="23" s="1"/>
  <c r="M21" i="23" s="1"/>
  <c r="N21" i="23" s="1"/>
  <c r="O21" i="23" s="1"/>
  <c r="P21" i="23" s="1"/>
  <c r="I20" i="23"/>
  <c r="J20" i="23"/>
  <c r="K20" i="23" s="1"/>
  <c r="L20" i="23" s="1"/>
  <c r="M20" i="23" s="1"/>
  <c r="N20" i="23" s="1"/>
  <c r="O20" i="23" s="1"/>
  <c r="P20" i="23" s="1"/>
  <c r="I19" i="23"/>
  <c r="J19" i="23"/>
  <c r="K19" i="23" s="1"/>
  <c r="L19" i="23"/>
  <c r="M19" i="23" s="1"/>
  <c r="N19" i="23" s="1"/>
  <c r="O19" i="23" s="1"/>
  <c r="P19" i="23"/>
  <c r="I18" i="23"/>
  <c r="J18" i="23"/>
  <c r="K18" i="23" s="1"/>
  <c r="L18" i="23" s="1"/>
  <c r="M18" i="23" s="1"/>
  <c r="N18" i="23" s="1"/>
  <c r="O18" i="23" s="1"/>
  <c r="P18" i="23"/>
  <c r="Q18" i="23" s="1"/>
  <c r="E18" i="23"/>
  <c r="E19" i="23"/>
  <c r="E20" i="23" s="1"/>
  <c r="I17" i="23"/>
  <c r="J17" i="23"/>
  <c r="K17" i="23" s="1"/>
  <c r="L17" i="23" s="1"/>
  <c r="M17" i="23" s="1"/>
  <c r="N17" i="23"/>
  <c r="O17" i="23" s="1"/>
  <c r="P17" i="23" s="1"/>
  <c r="N15" i="23"/>
  <c r="O15" i="23" s="1"/>
  <c r="P15" i="23" s="1"/>
  <c r="N14" i="23"/>
  <c r="O14" i="23" s="1"/>
  <c r="P14" i="23" s="1"/>
  <c r="N13" i="23"/>
  <c r="O9" i="23"/>
  <c r="N9" i="23"/>
  <c r="M9" i="23"/>
  <c r="L9" i="23"/>
  <c r="K9" i="23"/>
  <c r="J9" i="23"/>
  <c r="I9" i="23"/>
  <c r="H9" i="23"/>
  <c r="G9" i="23"/>
  <c r="D35" i="19"/>
  <c r="D67" i="19" s="1"/>
  <c r="D34" i="19"/>
  <c r="D66" i="19" s="1"/>
  <c r="D33" i="19"/>
  <c r="D65" i="19" s="1"/>
  <c r="D32" i="19"/>
  <c r="D64" i="19" s="1"/>
  <c r="D31" i="19"/>
  <c r="D63" i="19" s="1"/>
  <c r="D30" i="19"/>
  <c r="D62" i="19" s="1"/>
  <c r="D29" i="19"/>
  <c r="D61" i="19" s="1"/>
  <c r="D28" i="19"/>
  <c r="D60" i="19" s="1"/>
  <c r="D27" i="19"/>
  <c r="D59" i="19" s="1"/>
  <c r="D26" i="19"/>
  <c r="D58" i="19" s="1"/>
  <c r="D25" i="19"/>
  <c r="D57" i="19" s="1"/>
  <c r="D24" i="19"/>
  <c r="D56" i="19" s="1"/>
  <c r="D23" i="19"/>
  <c r="D55" i="19" s="1"/>
  <c r="D21" i="19"/>
  <c r="D53" i="19" s="1"/>
  <c r="D20" i="19"/>
  <c r="D52" i="19" s="1"/>
  <c r="D19" i="19"/>
  <c r="D51" i="19" s="1"/>
  <c r="D18" i="19"/>
  <c r="D50" i="19" s="1"/>
  <c r="D17" i="19"/>
  <c r="D49" i="19" s="1"/>
  <c r="D16" i="19"/>
  <c r="D48" i="19" s="1"/>
  <c r="D15" i="19"/>
  <c r="D47" i="19" s="1"/>
  <c r="D14" i="19"/>
  <c r="D46" i="19" s="1"/>
  <c r="D13" i="19"/>
  <c r="D45" i="19" s="1"/>
  <c r="D12" i="19"/>
  <c r="D44" i="19" s="1"/>
  <c r="D11" i="19"/>
  <c r="D43" i="19" s="1"/>
  <c r="D10" i="19"/>
  <c r="D42" i="19" s="1"/>
  <c r="D8" i="19"/>
  <c r="D40" i="19" s="1"/>
  <c r="D37" i="18"/>
  <c r="D35" i="18"/>
  <c r="D34" i="18"/>
  <c r="D33" i="18"/>
  <c r="D32" i="18"/>
  <c r="D31" i="18"/>
  <c r="D30" i="18"/>
  <c r="D28" i="18"/>
  <c r="D27" i="18"/>
  <c r="D26" i="18"/>
  <c r="D25" i="18"/>
  <c r="D24" i="18"/>
  <c r="D23" i="18"/>
  <c r="D21" i="18"/>
  <c r="D20" i="18"/>
  <c r="D19" i="18"/>
  <c r="D18" i="18"/>
  <c r="D17" i="18"/>
  <c r="D16" i="18"/>
  <c r="D15" i="18"/>
  <c r="D14" i="18"/>
  <c r="D13" i="18"/>
  <c r="D12" i="18"/>
  <c r="D11" i="18"/>
  <c r="D10" i="18"/>
  <c r="D8" i="18"/>
  <c r="F52" i="17"/>
  <c r="F51" i="17"/>
  <c r="F50" i="17"/>
  <c r="F49" i="17"/>
  <c r="S48" i="17"/>
  <c r="R48" i="17"/>
  <c r="F46" i="17"/>
  <c r="V46" i="17" s="1"/>
  <c r="F42" i="17"/>
  <c r="I66" i="19" s="1"/>
  <c r="J66" i="19" s="1"/>
  <c r="K66" i="19" s="1"/>
  <c r="L66" i="19" s="1"/>
  <c r="M66" i="19" s="1"/>
  <c r="N66" i="19" s="1"/>
  <c r="O66" i="19" s="1"/>
  <c r="P66" i="19" s="1"/>
  <c r="Q66" i="19" s="1"/>
  <c r="R66" i="19" s="1"/>
  <c r="S66" i="19" s="1"/>
  <c r="T66" i="19" s="1"/>
  <c r="U66" i="19" s="1"/>
  <c r="V66" i="19" s="1"/>
  <c r="W66" i="19" s="1"/>
  <c r="X66" i="19" s="1"/>
  <c r="Y66" i="19" s="1"/>
  <c r="Z66" i="19" s="1"/>
  <c r="AA66" i="19" s="1"/>
  <c r="AB66" i="19" s="1"/>
  <c r="AC66" i="19" s="1"/>
  <c r="F41" i="17"/>
  <c r="F40" i="17"/>
  <c r="F39" i="17"/>
  <c r="I63" i="19" s="1"/>
  <c r="F38" i="17"/>
  <c r="I62" i="19" s="1"/>
  <c r="F37" i="17"/>
  <c r="I61" i="19" s="1"/>
  <c r="F35" i="17"/>
  <c r="F34" i="17"/>
  <c r="I59" i="19" s="1"/>
  <c r="J59" i="19" s="1"/>
  <c r="K59" i="19" s="1"/>
  <c r="L59" i="19" s="1"/>
  <c r="M59" i="19" s="1"/>
  <c r="N59" i="19" s="1"/>
  <c r="O59" i="19" s="1"/>
  <c r="P59" i="19" s="1"/>
  <c r="Q59" i="19" s="1"/>
  <c r="R59" i="19" s="1"/>
  <c r="S59" i="19" s="1"/>
  <c r="T59" i="19" s="1"/>
  <c r="U59" i="19" s="1"/>
  <c r="V59" i="19" s="1"/>
  <c r="W59" i="19" s="1"/>
  <c r="X59" i="19" s="1"/>
  <c r="Y59" i="19" s="1"/>
  <c r="Z59" i="19" s="1"/>
  <c r="AA59" i="19" s="1"/>
  <c r="AB59" i="19" s="1"/>
  <c r="AC59" i="19" s="1"/>
  <c r="F33" i="17"/>
  <c r="I58" i="19" s="1"/>
  <c r="J58" i="19" s="1"/>
  <c r="K58" i="19" s="1"/>
  <c r="L58" i="19" s="1"/>
  <c r="M58" i="19" s="1"/>
  <c r="N58" i="19" s="1"/>
  <c r="O58" i="19" s="1"/>
  <c r="P58" i="19" s="1"/>
  <c r="Q58" i="19" s="1"/>
  <c r="R58" i="19" s="1"/>
  <c r="S58" i="19" s="1"/>
  <c r="T58" i="19" s="1"/>
  <c r="U58" i="19" s="1"/>
  <c r="V58" i="19" s="1"/>
  <c r="W58" i="19" s="1"/>
  <c r="X58" i="19" s="1"/>
  <c r="Y58" i="19" s="1"/>
  <c r="Z58" i="19" s="1"/>
  <c r="AA58" i="19" s="1"/>
  <c r="AB58" i="19" s="1"/>
  <c r="AC58" i="19" s="1"/>
  <c r="F32" i="17"/>
  <c r="I57" i="19" s="1"/>
  <c r="J57" i="19" s="1"/>
  <c r="K57" i="19" s="1"/>
  <c r="L57" i="19" s="1"/>
  <c r="M57" i="19" s="1"/>
  <c r="N57" i="19" s="1"/>
  <c r="O57" i="19" s="1"/>
  <c r="P57" i="19" s="1"/>
  <c r="Q57" i="19" s="1"/>
  <c r="R57" i="19" s="1"/>
  <c r="S57" i="19" s="1"/>
  <c r="T57" i="19" s="1"/>
  <c r="U57" i="19" s="1"/>
  <c r="V57" i="19" s="1"/>
  <c r="W57" i="19" s="1"/>
  <c r="X57" i="19" s="1"/>
  <c r="Y57" i="19" s="1"/>
  <c r="Z57" i="19" s="1"/>
  <c r="AA57" i="19" s="1"/>
  <c r="AB57" i="19" s="1"/>
  <c r="AC57" i="19" s="1"/>
  <c r="F31" i="17"/>
  <c r="I56" i="19" s="1"/>
  <c r="J56" i="19" s="1"/>
  <c r="K56" i="19" s="1"/>
  <c r="L56" i="19" s="1"/>
  <c r="M56" i="19" s="1"/>
  <c r="N56" i="19" s="1"/>
  <c r="O56" i="19" s="1"/>
  <c r="P56" i="19" s="1"/>
  <c r="Q56" i="19" s="1"/>
  <c r="R56" i="19" s="1"/>
  <c r="S56" i="19" s="1"/>
  <c r="T56" i="19" s="1"/>
  <c r="U56" i="19" s="1"/>
  <c r="V56" i="19" s="1"/>
  <c r="W56" i="19" s="1"/>
  <c r="X56" i="19" s="1"/>
  <c r="Y56" i="19" s="1"/>
  <c r="Z56" i="19" s="1"/>
  <c r="AA56" i="19" s="1"/>
  <c r="AB56" i="19" s="1"/>
  <c r="AC56" i="19" s="1"/>
  <c r="F15" i="17"/>
  <c r="F13" i="17"/>
  <c r="F12" i="17"/>
  <c r="F11" i="17"/>
  <c r="F10" i="17"/>
  <c r="F9" i="17"/>
  <c r="F8" i="17"/>
  <c r="D99" i="15"/>
  <c r="D107" i="15" s="1"/>
  <c r="D115" i="15" s="1"/>
  <c r="D131" i="15" s="1"/>
  <c r="C99" i="15"/>
  <c r="C107" i="15" s="1"/>
  <c r="C115" i="15" s="1"/>
  <c r="D98" i="15"/>
  <c r="D106" i="15"/>
  <c r="D114" i="15" s="1"/>
  <c r="D130" i="15" s="1"/>
  <c r="C98" i="15"/>
  <c r="C106" i="15" s="1"/>
  <c r="C114" i="15" s="1"/>
  <c r="D97" i="15"/>
  <c r="D105" i="15"/>
  <c r="D113" i="15" s="1"/>
  <c r="D129" i="15" s="1"/>
  <c r="C97" i="15"/>
  <c r="C105" i="15" s="1"/>
  <c r="C113" i="15"/>
  <c r="C121" i="15" s="1"/>
  <c r="D96" i="15"/>
  <c r="D104" i="15"/>
  <c r="D112" i="15" s="1"/>
  <c r="D128" i="15" s="1"/>
  <c r="C96" i="15"/>
  <c r="C104" i="15" s="1"/>
  <c r="C112" i="15" s="1"/>
  <c r="D95" i="15"/>
  <c r="D103" i="15" s="1"/>
  <c r="D111" i="15" s="1"/>
  <c r="C95" i="15"/>
  <c r="C103" i="15" s="1"/>
  <c r="C111" i="15" s="1"/>
  <c r="C119" i="15" s="1"/>
  <c r="D38" i="15"/>
  <c r="D74" i="15" s="1"/>
  <c r="D31" i="15"/>
  <c r="D32" i="15" s="1"/>
  <c r="D22" i="15"/>
  <c r="D23" i="15" s="1"/>
  <c r="D59" i="15" s="1"/>
  <c r="D19" i="15"/>
  <c r="D55" i="15" s="1"/>
  <c r="D13" i="15"/>
  <c r="D47" i="15" s="1"/>
  <c r="D67" i="15"/>
  <c r="D14" i="15"/>
  <c r="D15" i="15" s="1"/>
  <c r="D49" i="15"/>
  <c r="Q32" i="23"/>
  <c r="R32" i="23"/>
  <c r="R17" i="23"/>
  <c r="R21" i="23"/>
  <c r="Q21" i="23"/>
  <c r="F50" i="21" s="1"/>
  <c r="Q25" i="23"/>
  <c r="R25" i="23"/>
  <c r="Q19" i="23"/>
  <c r="F48" i="21" s="1"/>
  <c r="R19" i="23"/>
  <c r="R30" i="23"/>
  <c r="Q33" i="23"/>
  <c r="R33" i="23"/>
  <c r="Q36" i="23"/>
  <c r="F65" i="21" s="1"/>
  <c r="R36" i="23"/>
  <c r="D120" i="15"/>
  <c r="O48" i="23"/>
  <c r="P48" i="23" s="1"/>
  <c r="O44" i="23"/>
  <c r="O49" i="23"/>
  <c r="P49" i="23" s="1"/>
  <c r="D24" i="15"/>
  <c r="D25" i="15" s="1"/>
  <c r="D26" i="15" s="1"/>
  <c r="E21" i="23"/>
  <c r="E22" i="23"/>
  <c r="E23" i="23" s="1"/>
  <c r="E24" i="23"/>
  <c r="E25" i="23" s="1"/>
  <c r="E26" i="23" s="1"/>
  <c r="E27" i="23" s="1"/>
  <c r="E28" i="23" s="1"/>
  <c r="E29" i="23" s="1"/>
  <c r="E30" i="23" s="1"/>
  <c r="E31" i="23" s="1"/>
  <c r="E32" i="23" s="1"/>
  <c r="E33" i="23" s="1"/>
  <c r="E34" i="23" s="1"/>
  <c r="E35" i="23" s="1"/>
  <c r="E36" i="23" s="1"/>
  <c r="E37" i="23" s="1"/>
  <c r="E40" i="23" s="1"/>
  <c r="E41" i="23" s="1"/>
  <c r="E42" i="23" s="1"/>
  <c r="E43" i="23" s="1"/>
  <c r="E44" i="23" s="1"/>
  <c r="E46" i="23" s="1"/>
  <c r="E47" i="23" s="1"/>
  <c r="E48" i="23" s="1"/>
  <c r="E49" i="23" s="1"/>
  <c r="E50" i="23" s="1"/>
  <c r="P16" i="23"/>
  <c r="D119" i="15" l="1"/>
  <c r="D127" i="15"/>
  <c r="C131" i="15"/>
  <c r="C123" i="15"/>
  <c r="D62" i="15"/>
  <c r="D27" i="15"/>
  <c r="D63" i="15" s="1"/>
  <c r="D60" i="15"/>
  <c r="D58" i="15"/>
  <c r="D50" i="15"/>
  <c r="D39" i="15"/>
  <c r="D20" i="15"/>
  <c r="D56" i="15" s="1"/>
  <c r="D122" i="15"/>
  <c r="I64" i="19"/>
  <c r="J64" i="19" s="1"/>
  <c r="K64" i="19" s="1"/>
  <c r="L64" i="19" s="1"/>
  <c r="M64" i="19" s="1"/>
  <c r="N64" i="19" s="1"/>
  <c r="O64" i="19" s="1"/>
  <c r="P64" i="19" s="1"/>
  <c r="Q64" i="19" s="1"/>
  <c r="R64" i="19" s="1"/>
  <c r="S64" i="19" s="1"/>
  <c r="T64" i="19" s="1"/>
  <c r="U64" i="19" s="1"/>
  <c r="V64" i="19" s="1"/>
  <c r="W64" i="19" s="1"/>
  <c r="X64" i="19" s="1"/>
  <c r="Y64" i="19" s="1"/>
  <c r="Z64" i="19" s="1"/>
  <c r="AA64" i="19" s="1"/>
  <c r="AB64" i="19" s="1"/>
  <c r="AC64" i="19" s="1"/>
  <c r="V40" i="17"/>
  <c r="I65" i="19"/>
  <c r="J65" i="19" s="1"/>
  <c r="K65" i="19" s="1"/>
  <c r="L65" i="19" s="1"/>
  <c r="M65" i="19" s="1"/>
  <c r="N65" i="19" s="1"/>
  <c r="O65" i="19" s="1"/>
  <c r="P65" i="19" s="1"/>
  <c r="Q65" i="19" s="1"/>
  <c r="R65" i="19" s="1"/>
  <c r="S65" i="19" s="1"/>
  <c r="T65" i="19" s="1"/>
  <c r="U65" i="19" s="1"/>
  <c r="V65" i="19" s="1"/>
  <c r="W65" i="19" s="1"/>
  <c r="X65" i="19" s="1"/>
  <c r="Y65" i="19" s="1"/>
  <c r="Z65" i="19" s="1"/>
  <c r="AA65" i="19" s="1"/>
  <c r="AB65" i="19" s="1"/>
  <c r="AC65" i="19" s="1"/>
  <c r="V41" i="17"/>
  <c r="K11" i="30"/>
  <c r="K38" i="30" s="1"/>
  <c r="P50" i="21"/>
  <c r="X50" i="21"/>
  <c r="AF50" i="21"/>
  <c r="AD50" i="21"/>
  <c r="Q50" i="21"/>
  <c r="Y50" i="21"/>
  <c r="AG50" i="21"/>
  <c r="R50" i="21"/>
  <c r="Z50" i="21"/>
  <c r="S50" i="21"/>
  <c r="AA50" i="21"/>
  <c r="W50" i="21"/>
  <c r="T50" i="21"/>
  <c r="AB50" i="21"/>
  <c r="AE50" i="21"/>
  <c r="U50" i="21"/>
  <c r="AC50" i="21"/>
  <c r="V50" i="21"/>
  <c r="O50" i="21"/>
  <c r="V48" i="21"/>
  <c r="AD48" i="21"/>
  <c r="O48" i="21"/>
  <c r="W48" i="21"/>
  <c r="AE48" i="21"/>
  <c r="AB48" i="21"/>
  <c r="P48" i="21"/>
  <c r="X48" i="21"/>
  <c r="AF48" i="21"/>
  <c r="Q48" i="21"/>
  <c r="Y48" i="21"/>
  <c r="AG48" i="21"/>
  <c r="AC48" i="21"/>
  <c r="R48" i="21"/>
  <c r="Z48" i="21"/>
  <c r="S48" i="21"/>
  <c r="AA48" i="21"/>
  <c r="T48" i="21"/>
  <c r="U48" i="21"/>
  <c r="S65" i="21"/>
  <c r="AA65" i="21"/>
  <c r="Y65" i="21"/>
  <c r="T65" i="21"/>
  <c r="AB65" i="21"/>
  <c r="Q65" i="21"/>
  <c r="Z65" i="21"/>
  <c r="U65" i="21"/>
  <c r="AC65" i="21"/>
  <c r="V65" i="21"/>
  <c r="AD65" i="21"/>
  <c r="O65" i="21"/>
  <c r="W65" i="21"/>
  <c r="AE65" i="21"/>
  <c r="AG65" i="21"/>
  <c r="R65" i="21"/>
  <c r="P65" i="21"/>
  <c r="X65" i="21"/>
  <c r="AF65" i="21"/>
  <c r="J25" i="30"/>
  <c r="N31" i="21"/>
  <c r="N83" i="21" s="1"/>
  <c r="J20" i="30"/>
  <c r="K20" i="30" s="1"/>
  <c r="L20" i="30" s="1"/>
  <c r="M20" i="30" s="1"/>
  <c r="I52" i="19"/>
  <c r="J52" i="19" s="1"/>
  <c r="K52" i="19" s="1"/>
  <c r="L52" i="19" s="1"/>
  <c r="M52" i="19" s="1"/>
  <c r="N52" i="19" s="1"/>
  <c r="O52" i="19" s="1"/>
  <c r="P52" i="19" s="1"/>
  <c r="Q52" i="19" s="1"/>
  <c r="R52" i="19" s="1"/>
  <c r="S52" i="19" s="1"/>
  <c r="T52" i="19" s="1"/>
  <c r="U52" i="19" s="1"/>
  <c r="V52" i="19" s="1"/>
  <c r="W52" i="19" s="1"/>
  <c r="X52" i="19" s="1"/>
  <c r="Y52" i="19" s="1"/>
  <c r="Z52" i="19" s="1"/>
  <c r="AA52" i="19" s="1"/>
  <c r="AB52" i="19" s="1"/>
  <c r="AC52" i="19" s="1"/>
  <c r="V27" i="17"/>
  <c r="I60" i="19"/>
  <c r="J60" i="19" s="1"/>
  <c r="K60" i="19" s="1"/>
  <c r="L60" i="19" s="1"/>
  <c r="M60" i="19" s="1"/>
  <c r="N60" i="19" s="1"/>
  <c r="O60" i="19" s="1"/>
  <c r="P60" i="19" s="1"/>
  <c r="Q60" i="19" s="1"/>
  <c r="R60" i="19" s="1"/>
  <c r="S60" i="19" s="1"/>
  <c r="T60" i="19" s="1"/>
  <c r="U60" i="19" s="1"/>
  <c r="V60" i="19" s="1"/>
  <c r="W60" i="19" s="1"/>
  <c r="X60" i="19" s="1"/>
  <c r="Y60" i="19" s="1"/>
  <c r="Z60" i="19" s="1"/>
  <c r="AA60" i="19" s="1"/>
  <c r="AB60" i="19" s="1"/>
  <c r="AC60" i="19" s="1"/>
  <c r="V35" i="17"/>
  <c r="V52" i="17" s="1"/>
  <c r="I69" i="19"/>
  <c r="J69" i="19" s="1"/>
  <c r="K69" i="19" s="1"/>
  <c r="L69" i="19" s="1"/>
  <c r="M69" i="19" s="1"/>
  <c r="N69" i="19" s="1"/>
  <c r="O69" i="19" s="1"/>
  <c r="P69" i="19" s="1"/>
  <c r="Q69" i="19" s="1"/>
  <c r="R69" i="19" s="1"/>
  <c r="S69" i="19" s="1"/>
  <c r="T69" i="19" s="1"/>
  <c r="U69" i="19" s="1"/>
  <c r="V69" i="19" s="1"/>
  <c r="W69" i="19" s="1"/>
  <c r="X69" i="19" s="1"/>
  <c r="Y69" i="19" s="1"/>
  <c r="Z69" i="19" s="1"/>
  <c r="AA69" i="19" s="1"/>
  <c r="AB69" i="19" s="1"/>
  <c r="AC69" i="19" s="1"/>
  <c r="G38" i="18"/>
  <c r="J11" i="30"/>
  <c r="L89" i="21"/>
  <c r="L91" i="21" s="1"/>
  <c r="R53" i="17"/>
  <c r="E21" i="18"/>
  <c r="G21" i="18" s="1"/>
  <c r="E26" i="18"/>
  <c r="G26" i="18" s="1"/>
  <c r="E14" i="18"/>
  <c r="G14" i="18" s="1"/>
  <c r="G37" i="18"/>
  <c r="I42" i="19"/>
  <c r="E11" i="18"/>
  <c r="G11" i="18" s="1"/>
  <c r="E32" i="18"/>
  <c r="G32" i="18" s="1"/>
  <c r="G89" i="21"/>
  <c r="G91" i="21" s="1"/>
  <c r="Q29" i="23"/>
  <c r="F58" i="21" s="1"/>
  <c r="R29" i="23"/>
  <c r="Q37" i="23"/>
  <c r="F66" i="21" s="1"/>
  <c r="R37" i="23"/>
  <c r="Q26" i="23"/>
  <c r="R26" i="23"/>
  <c r="Q38" i="23"/>
  <c r="F67" i="21" s="1"/>
  <c r="R38" i="23"/>
  <c r="D16" i="15"/>
  <c r="D51" i="15"/>
  <c r="C122" i="15"/>
  <c r="C130" i="15"/>
  <c r="Q17" i="23"/>
  <c r="R23" i="23"/>
  <c r="Q23" i="23"/>
  <c r="F52" i="21" s="1"/>
  <c r="Q27" i="23"/>
  <c r="R27" i="23"/>
  <c r="R34" i="23"/>
  <c r="Q34" i="23"/>
  <c r="R22" i="23"/>
  <c r="Q22" i="23"/>
  <c r="F51" i="21" s="1"/>
  <c r="C128" i="15"/>
  <c r="C120" i="15"/>
  <c r="R24" i="23"/>
  <c r="Q24" i="23"/>
  <c r="D68" i="15"/>
  <c r="D33" i="15"/>
  <c r="Q20" i="23"/>
  <c r="R20" i="23"/>
  <c r="R28" i="23"/>
  <c r="Q28" i="23"/>
  <c r="F57" i="21" s="1"/>
  <c r="Q31" i="23"/>
  <c r="R31" i="23"/>
  <c r="O16" i="23"/>
  <c r="E30" i="18"/>
  <c r="G30" i="18" s="1"/>
  <c r="E24" i="18"/>
  <c r="G24" i="18" s="1"/>
  <c r="E25" i="18"/>
  <c r="G25" i="18" s="1"/>
  <c r="F48" i="17"/>
  <c r="Q47" i="23"/>
  <c r="R47" i="23"/>
  <c r="Q13" i="23"/>
  <c r="R13" i="23"/>
  <c r="R18" i="23"/>
  <c r="M89" i="21"/>
  <c r="M91" i="21" s="1"/>
  <c r="S53" i="17"/>
  <c r="Q15" i="23"/>
  <c r="R15" i="23"/>
  <c r="E20" i="18"/>
  <c r="G20" i="18" s="1"/>
  <c r="E27" i="18"/>
  <c r="G27" i="18" s="1"/>
  <c r="E23" i="18"/>
  <c r="G23" i="18" s="1"/>
  <c r="E16" i="18"/>
  <c r="G16" i="18" s="1"/>
  <c r="C127" i="15"/>
  <c r="N50" i="21"/>
  <c r="M50" i="21"/>
  <c r="G50" i="21"/>
  <c r="L50" i="21"/>
  <c r="E39" i="18"/>
  <c r="G39" i="18" s="1"/>
  <c r="E18" i="18"/>
  <c r="G18" i="18" s="1"/>
  <c r="E13" i="18"/>
  <c r="G13" i="18" s="1"/>
  <c r="G48" i="21"/>
  <c r="L48" i="21"/>
  <c r="M48" i="21"/>
  <c r="N48" i="21"/>
  <c r="F58" i="17"/>
  <c r="I40" i="19"/>
  <c r="J40" i="19" s="1"/>
  <c r="E8" i="18"/>
  <c r="G8" i="18" s="1"/>
  <c r="Q30" i="23"/>
  <c r="F59" i="21" s="1"/>
  <c r="R14" i="23"/>
  <c r="Q14" i="23"/>
  <c r="E17" i="18"/>
  <c r="G17" i="18" s="1"/>
  <c r="E35" i="18"/>
  <c r="G35" i="18" s="1"/>
  <c r="D123" i="15"/>
  <c r="M65" i="21"/>
  <c r="L65" i="21"/>
  <c r="G65" i="21"/>
  <c r="N65" i="21"/>
  <c r="E22" i="18"/>
  <c r="G22" i="18" s="1"/>
  <c r="Q35" i="23"/>
  <c r="F64" i="21" s="1"/>
  <c r="E12" i="18"/>
  <c r="G12" i="18" s="1"/>
  <c r="E33" i="18"/>
  <c r="G33" i="18" s="1"/>
  <c r="E10" i="18"/>
  <c r="G10" i="18" s="1"/>
  <c r="E31" i="18"/>
  <c r="G31" i="18" s="1"/>
  <c r="E28" i="18"/>
  <c r="G28" i="18" s="1"/>
  <c r="D121" i="15"/>
  <c r="C129" i="15"/>
  <c r="D61" i="15"/>
  <c r="R49" i="23"/>
  <c r="Q49" i="23"/>
  <c r="E34" i="18"/>
  <c r="G34" i="18" s="1"/>
  <c r="E15" i="18"/>
  <c r="G15" i="18" s="1"/>
  <c r="E19" i="18"/>
  <c r="G19" i="18" s="1"/>
  <c r="E9" i="18"/>
  <c r="G9" i="18" s="1"/>
  <c r="N16" i="23"/>
  <c r="F28" i="21"/>
  <c r="F29" i="21"/>
  <c r="F31" i="21"/>
  <c r="R41" i="23"/>
  <c r="I68" i="19"/>
  <c r="F60" i="17"/>
  <c r="P40" i="23"/>
  <c r="O46" i="23"/>
  <c r="Q48" i="23"/>
  <c r="R48" i="23"/>
  <c r="F30" i="21"/>
  <c r="F59" i="17"/>
  <c r="R42" i="23"/>
  <c r="Q42" i="23"/>
  <c r="R43" i="23"/>
  <c r="S9" i="23"/>
  <c r="S38" i="23" s="1"/>
  <c r="R8" i="23"/>
  <c r="D75" i="15" l="1"/>
  <c r="D40" i="15"/>
  <c r="J38" i="30"/>
  <c r="U59" i="21"/>
  <c r="AC59" i="21"/>
  <c r="V59" i="21"/>
  <c r="AD59" i="21"/>
  <c r="O59" i="21"/>
  <c r="W59" i="21"/>
  <c r="AE59" i="21"/>
  <c r="P59" i="21"/>
  <c r="X59" i="21"/>
  <c r="AF59" i="21"/>
  <c r="T59" i="21"/>
  <c r="Q59" i="21"/>
  <c r="Y59" i="21"/>
  <c r="AG59" i="21"/>
  <c r="S59" i="21"/>
  <c r="R59" i="21"/>
  <c r="Z59" i="21"/>
  <c r="AA59" i="21"/>
  <c r="AB59" i="21"/>
  <c r="P66" i="21"/>
  <c r="X66" i="21"/>
  <c r="AF66" i="21"/>
  <c r="O66" i="21"/>
  <c r="Q66" i="21"/>
  <c r="Y66" i="21"/>
  <c r="AG66" i="21"/>
  <c r="W66" i="21"/>
  <c r="AE66" i="21"/>
  <c r="R66" i="21"/>
  <c r="Z66" i="21"/>
  <c r="S66" i="21"/>
  <c r="AA66" i="21"/>
  <c r="V66" i="21"/>
  <c r="T66" i="21"/>
  <c r="AB66" i="21"/>
  <c r="U66" i="21"/>
  <c r="AC66" i="21"/>
  <c r="AD66" i="21"/>
  <c r="S57" i="21"/>
  <c r="AA57" i="21"/>
  <c r="AG57" i="21"/>
  <c r="T57" i="21"/>
  <c r="AB57" i="21"/>
  <c r="Q57" i="21"/>
  <c r="R57" i="21"/>
  <c r="U57" i="21"/>
  <c r="AC57" i="21"/>
  <c r="V57" i="21"/>
  <c r="AD57" i="21"/>
  <c r="O57" i="21"/>
  <c r="W57" i="21"/>
  <c r="AE57" i="21"/>
  <c r="Y57" i="21"/>
  <c r="P57" i="21"/>
  <c r="X57" i="21"/>
  <c r="AF57" i="21"/>
  <c r="Z57" i="21"/>
  <c r="R52" i="21"/>
  <c r="Z52" i="21"/>
  <c r="P52" i="21"/>
  <c r="S52" i="21"/>
  <c r="AA52" i="21"/>
  <c r="AF52" i="21"/>
  <c r="Y52" i="21"/>
  <c r="T52" i="21"/>
  <c r="AB52" i="21"/>
  <c r="AG52" i="21"/>
  <c r="U52" i="21"/>
  <c r="AC52" i="21"/>
  <c r="V52" i="21"/>
  <c r="AD52" i="21"/>
  <c r="X52" i="21"/>
  <c r="Q52" i="21"/>
  <c r="O52" i="21"/>
  <c r="W52" i="21"/>
  <c r="AE52" i="21"/>
  <c r="U67" i="21"/>
  <c r="U77" i="21" s="1"/>
  <c r="AC67" i="21"/>
  <c r="AC77" i="21" s="1"/>
  <c r="S67" i="21"/>
  <c r="S77" i="21" s="1"/>
  <c r="V67" i="21"/>
  <c r="V77" i="21" s="1"/>
  <c r="AD67" i="21"/>
  <c r="AD77" i="21" s="1"/>
  <c r="O67" i="21"/>
  <c r="O77" i="21" s="1"/>
  <c r="W67" i="21"/>
  <c r="W77" i="21" s="1"/>
  <c r="AE67" i="21"/>
  <c r="AE77" i="21" s="1"/>
  <c r="AB67" i="21"/>
  <c r="AB77" i="21" s="1"/>
  <c r="P67" i="21"/>
  <c r="P77" i="21" s="1"/>
  <c r="X67" i="21"/>
  <c r="X77" i="21" s="1"/>
  <c r="AF67" i="21"/>
  <c r="AF77" i="21" s="1"/>
  <c r="T67" i="21"/>
  <c r="T77" i="21" s="1"/>
  <c r="Q67" i="21"/>
  <c r="Q77" i="21" s="1"/>
  <c r="Y67" i="21"/>
  <c r="Y77" i="21" s="1"/>
  <c r="AG67" i="21"/>
  <c r="AG77" i="21" s="1"/>
  <c r="AA67" i="21"/>
  <c r="AA77" i="21" s="1"/>
  <c r="R67" i="21"/>
  <c r="R77" i="21" s="1"/>
  <c r="Z67" i="21"/>
  <c r="Z77" i="21" s="1"/>
  <c r="P58" i="21"/>
  <c r="X58" i="21"/>
  <c r="AF58" i="21"/>
  <c r="AD58" i="21"/>
  <c r="Q58" i="21"/>
  <c r="Y58" i="21"/>
  <c r="AG58" i="21"/>
  <c r="R58" i="21"/>
  <c r="Z58" i="21"/>
  <c r="V58" i="21"/>
  <c r="S58" i="21"/>
  <c r="AA58" i="21"/>
  <c r="T58" i="21"/>
  <c r="AB58" i="21"/>
  <c r="O58" i="21"/>
  <c r="AE58" i="21"/>
  <c r="U58" i="21"/>
  <c r="AC58" i="21"/>
  <c r="W58" i="21"/>
  <c r="O31" i="21"/>
  <c r="O83" i="21" s="1"/>
  <c r="V64" i="21"/>
  <c r="V76" i="21" s="1"/>
  <c r="AD64" i="21"/>
  <c r="AD76" i="21" s="1"/>
  <c r="AB64" i="21"/>
  <c r="O64" i="21"/>
  <c r="O76" i="21" s="1"/>
  <c r="W64" i="21"/>
  <c r="AE64" i="21"/>
  <c r="AC64" i="21"/>
  <c r="P64" i="21"/>
  <c r="X64" i="21"/>
  <c r="AF64" i="21"/>
  <c r="AF76" i="21" s="1"/>
  <c r="Q64" i="21"/>
  <c r="Y64" i="21"/>
  <c r="AG64" i="21"/>
  <c r="AG76" i="21" s="1"/>
  <c r="R64" i="21"/>
  <c r="Z64" i="21"/>
  <c r="Z76" i="21" s="1"/>
  <c r="T64" i="21"/>
  <c r="T76" i="21" s="1"/>
  <c r="S64" i="21"/>
  <c r="S76" i="21" s="1"/>
  <c r="AA64" i="21"/>
  <c r="U64" i="21"/>
  <c r="U51" i="21"/>
  <c r="AC51" i="21"/>
  <c r="V51" i="21"/>
  <c r="V74" i="21" s="1"/>
  <c r="AD51" i="21"/>
  <c r="AD74" i="21" s="1"/>
  <c r="O51" i="21"/>
  <c r="O74" i="21" s="1"/>
  <c r="W51" i="21"/>
  <c r="AE51" i="21"/>
  <c r="AA51" i="21"/>
  <c r="AA74" i="21" s="1"/>
  <c r="P51" i="21"/>
  <c r="X51" i="21"/>
  <c r="X74" i="21" s="1"/>
  <c r="AF51" i="21"/>
  <c r="AF74" i="21" s="1"/>
  <c r="AB51" i="21"/>
  <c r="AB74" i="21" s="1"/>
  <c r="Q51" i="21"/>
  <c r="Y51" i="21"/>
  <c r="Y74" i="21" s="1"/>
  <c r="AG51" i="21"/>
  <c r="AG74" i="21" s="1"/>
  <c r="S51" i="21"/>
  <c r="R51" i="21"/>
  <c r="R74" i="21" s="1"/>
  <c r="Z51" i="21"/>
  <c r="T51" i="21"/>
  <c r="T74" i="21" s="1"/>
  <c r="K40" i="19"/>
  <c r="L40" i="19" s="1"/>
  <c r="M40" i="19" s="1"/>
  <c r="N40" i="19" s="1"/>
  <c r="O40" i="19" s="1"/>
  <c r="P40" i="19" s="1"/>
  <c r="Q40" i="19" s="1"/>
  <c r="R40" i="19" s="1"/>
  <c r="S40" i="19" s="1"/>
  <c r="T40" i="19" s="1"/>
  <c r="U40" i="19" s="1"/>
  <c r="J70" i="19"/>
  <c r="G41" i="18"/>
  <c r="F53" i="17"/>
  <c r="I70" i="19"/>
  <c r="M64" i="21"/>
  <c r="N64" i="21"/>
  <c r="G64" i="21"/>
  <c r="L64" i="21"/>
  <c r="Q40" i="23"/>
  <c r="Q44" i="23" s="1"/>
  <c r="F33" i="21" s="1"/>
  <c r="P44" i="23"/>
  <c r="R40" i="23"/>
  <c r="R44" i="23" s="1"/>
  <c r="S40" i="23"/>
  <c r="L31" i="21"/>
  <c r="G31" i="21"/>
  <c r="M31" i="21"/>
  <c r="F20" i="30"/>
  <c r="F34" i="30"/>
  <c r="S14" i="23"/>
  <c r="S47" i="23"/>
  <c r="M57" i="21"/>
  <c r="L57" i="21"/>
  <c r="N57" i="21"/>
  <c r="G57" i="21"/>
  <c r="AE29" i="21"/>
  <c r="AE81" i="21" s="1"/>
  <c r="AC29" i="21"/>
  <c r="AC81" i="21" s="1"/>
  <c r="L29" i="21"/>
  <c r="M29" i="21"/>
  <c r="AG29" i="21"/>
  <c r="AG81" i="21" s="1"/>
  <c r="AD29" i="21"/>
  <c r="AD81" i="21" s="1"/>
  <c r="N29" i="21"/>
  <c r="N81" i="21" s="1"/>
  <c r="G29" i="21"/>
  <c r="AF29" i="21"/>
  <c r="AF81" i="21" s="1"/>
  <c r="F18" i="30"/>
  <c r="F32" i="30"/>
  <c r="S25" i="23"/>
  <c r="S13" i="23"/>
  <c r="S31" i="23"/>
  <c r="S34" i="23"/>
  <c r="M52" i="21"/>
  <c r="G52" i="21"/>
  <c r="N52" i="21"/>
  <c r="L52" i="21"/>
  <c r="N58" i="21"/>
  <c r="M58" i="21"/>
  <c r="G58" i="21"/>
  <c r="L58" i="21"/>
  <c r="N59" i="21"/>
  <c r="G59" i="21"/>
  <c r="L59" i="21"/>
  <c r="M59" i="21"/>
  <c r="R16" i="23"/>
  <c r="S24" i="23"/>
  <c r="S8" i="23"/>
  <c r="T9" i="23"/>
  <c r="T40" i="23" s="1"/>
  <c r="S43" i="23"/>
  <c r="S33" i="23"/>
  <c r="S21" i="23"/>
  <c r="S49" i="23"/>
  <c r="S30" i="23"/>
  <c r="S41" i="23"/>
  <c r="S35" i="23"/>
  <c r="S37" i="23"/>
  <c r="S42" i="23"/>
  <c r="G32" i="21"/>
  <c r="N32" i="21"/>
  <c r="L32" i="21"/>
  <c r="M32" i="21"/>
  <c r="F21" i="30"/>
  <c r="F35" i="30"/>
  <c r="AC28" i="21"/>
  <c r="AC80" i="21" s="1"/>
  <c r="N28" i="21"/>
  <c r="N80" i="21" s="1"/>
  <c r="G28" i="21"/>
  <c r="AF28" i="21"/>
  <c r="AF80" i="21" s="1"/>
  <c r="L28" i="21"/>
  <c r="AD28" i="21"/>
  <c r="AD80" i="21" s="1"/>
  <c r="M28" i="21"/>
  <c r="F31" i="30"/>
  <c r="AG28" i="21"/>
  <c r="AG80" i="21" s="1"/>
  <c r="AE28" i="21"/>
  <c r="AE80" i="21" s="1"/>
  <c r="F17" i="30"/>
  <c r="S32" i="23"/>
  <c r="S19" i="23"/>
  <c r="S20" i="23"/>
  <c r="S29" i="23"/>
  <c r="S22" i="23"/>
  <c r="S23" i="23"/>
  <c r="N67" i="21"/>
  <c r="N77" i="21" s="1"/>
  <c r="M67" i="21"/>
  <c r="L67" i="21"/>
  <c r="G67" i="21"/>
  <c r="Q16" i="23"/>
  <c r="F45" i="21" s="1"/>
  <c r="S48" i="23"/>
  <c r="S15" i="23"/>
  <c r="N51" i="21"/>
  <c r="M51" i="21"/>
  <c r="L51" i="21"/>
  <c r="G51" i="21"/>
  <c r="F87" i="21"/>
  <c r="S27" i="23"/>
  <c r="S17" i="23"/>
  <c r="D52" i="15"/>
  <c r="D17" i="15"/>
  <c r="D53" i="15" s="1"/>
  <c r="S26" i="23"/>
  <c r="M30" i="21"/>
  <c r="AC30" i="21"/>
  <c r="AC82" i="21" s="1"/>
  <c r="N30" i="21"/>
  <c r="N82" i="21" s="1"/>
  <c r="AD30" i="21"/>
  <c r="AD82" i="21" s="1"/>
  <c r="AE30" i="21"/>
  <c r="AE82" i="21" s="1"/>
  <c r="G30" i="21"/>
  <c r="F19" i="30"/>
  <c r="L30" i="21"/>
  <c r="AG30" i="21"/>
  <c r="AG82" i="21" s="1"/>
  <c r="AF30" i="21"/>
  <c r="AF82" i="21" s="1"/>
  <c r="F33" i="30"/>
  <c r="P46" i="23"/>
  <c r="O50" i="23"/>
  <c r="S18" i="23"/>
  <c r="S36" i="23"/>
  <c r="S28" i="23"/>
  <c r="D34" i="15"/>
  <c r="D69" i="15"/>
  <c r="M66" i="21"/>
  <c r="N66" i="21"/>
  <c r="G66" i="21"/>
  <c r="L66" i="21"/>
  <c r="Q74" i="21" l="1"/>
  <c r="Y76" i="21"/>
  <c r="N74" i="21"/>
  <c r="X76" i="21"/>
  <c r="P76" i="21"/>
  <c r="AC76" i="21"/>
  <c r="R76" i="21"/>
  <c r="AE76" i="21"/>
  <c r="AC74" i="21"/>
  <c r="P74" i="21"/>
  <c r="U74" i="21"/>
  <c r="S74" i="21"/>
  <c r="U76" i="21"/>
  <c r="AG75" i="21"/>
  <c r="W76" i="21"/>
  <c r="AF75" i="21"/>
  <c r="Z74" i="21"/>
  <c r="AB76" i="21"/>
  <c r="P75" i="21"/>
  <c r="AF33" i="21"/>
  <c r="AF85" i="21" s="1"/>
  <c r="AG33" i="21"/>
  <c r="AG85" i="21" s="1"/>
  <c r="W74" i="21"/>
  <c r="AE74" i="21"/>
  <c r="AE75" i="21"/>
  <c r="D41" i="15"/>
  <c r="D76" i="15"/>
  <c r="M32" i="30"/>
  <c r="K32" i="30"/>
  <c r="L32" i="30"/>
  <c r="K34" i="30"/>
  <c r="L34" i="30"/>
  <c r="M34" i="30"/>
  <c r="M33" i="30"/>
  <c r="K33" i="30"/>
  <c r="L33" i="30"/>
  <c r="M21" i="30"/>
  <c r="L21" i="30"/>
  <c r="M18" i="30"/>
  <c r="L18" i="30"/>
  <c r="L19" i="30"/>
  <c r="M19" i="30"/>
  <c r="L17" i="30"/>
  <c r="M17" i="30"/>
  <c r="L31" i="30"/>
  <c r="M31" i="30"/>
  <c r="K31" i="30"/>
  <c r="L35" i="30"/>
  <c r="M35" i="30"/>
  <c r="K35" i="30"/>
  <c r="U75" i="21"/>
  <c r="N84" i="21"/>
  <c r="O32" i="21"/>
  <c r="V33" i="21"/>
  <c r="V85" i="21" s="1"/>
  <c r="AD33" i="21"/>
  <c r="AD85" i="21" s="1"/>
  <c r="P33" i="21"/>
  <c r="P85" i="21" s="1"/>
  <c r="AB33" i="21"/>
  <c r="AB85" i="21" s="1"/>
  <c r="O33" i="21"/>
  <c r="O85" i="21" s="1"/>
  <c r="W33" i="21"/>
  <c r="W85" i="21" s="1"/>
  <c r="AE33" i="21"/>
  <c r="AE85" i="21" s="1"/>
  <c r="X33" i="21"/>
  <c r="X85" i="21" s="1"/>
  <c r="U33" i="21"/>
  <c r="U85" i="21" s="1"/>
  <c r="Q33" i="21"/>
  <c r="Q85" i="21" s="1"/>
  <c r="Y33" i="21"/>
  <c r="Y85" i="21" s="1"/>
  <c r="Z33" i="21"/>
  <c r="Z85" i="21" s="1"/>
  <c r="R33" i="21"/>
  <c r="R85" i="21" s="1"/>
  <c r="T33" i="21"/>
  <c r="T85" i="21" s="1"/>
  <c r="AC33" i="21"/>
  <c r="AC85" i="21" s="1"/>
  <c r="S33" i="21"/>
  <c r="S85" i="21" s="1"/>
  <c r="AA33" i="21"/>
  <c r="AA85" i="21" s="1"/>
  <c r="Y75" i="21"/>
  <c r="R75" i="21"/>
  <c r="Q75" i="21"/>
  <c r="P31" i="21"/>
  <c r="P83" i="21" s="1"/>
  <c r="W75" i="21"/>
  <c r="AB75" i="21"/>
  <c r="O75" i="21"/>
  <c r="T75" i="21"/>
  <c r="O45" i="21"/>
  <c r="W45" i="21"/>
  <c r="AE45" i="21"/>
  <c r="U45" i="21"/>
  <c r="P45" i="21"/>
  <c r="X45" i="21"/>
  <c r="AF45" i="21"/>
  <c r="V45" i="21"/>
  <c r="Q45" i="21"/>
  <c r="Y45" i="21"/>
  <c r="AG45" i="21"/>
  <c r="R45" i="21"/>
  <c r="Z45" i="21"/>
  <c r="AD45" i="21"/>
  <c r="S45" i="21"/>
  <c r="AA45" i="21"/>
  <c r="AC45" i="21"/>
  <c r="T45" i="21"/>
  <c r="AB45" i="21"/>
  <c r="Q76" i="21"/>
  <c r="Z75" i="21"/>
  <c r="AD75" i="21"/>
  <c r="AA76" i="21"/>
  <c r="V75" i="21"/>
  <c r="AA75" i="21"/>
  <c r="X75" i="21"/>
  <c r="AC75" i="21"/>
  <c r="S75" i="21"/>
  <c r="V40" i="19"/>
  <c r="U70" i="19"/>
  <c r="J17" i="30"/>
  <c r="H17" i="30"/>
  <c r="K17" i="30"/>
  <c r="I17" i="30"/>
  <c r="G17" i="30"/>
  <c r="N75" i="21"/>
  <c r="T8" i="23"/>
  <c r="U9" i="23"/>
  <c r="T21" i="23"/>
  <c r="T36" i="23"/>
  <c r="T19" i="23"/>
  <c r="T30" i="23"/>
  <c r="T25" i="23"/>
  <c r="T18" i="23"/>
  <c r="T41" i="23"/>
  <c r="T44" i="23" s="1"/>
  <c r="T20" i="23"/>
  <c r="T28" i="23"/>
  <c r="T47" i="23"/>
  <c r="T38" i="23"/>
  <c r="T27" i="23"/>
  <c r="T42" i="23"/>
  <c r="T37" i="23"/>
  <c r="T26" i="23"/>
  <c r="T23" i="23"/>
  <c r="T22" i="23"/>
  <c r="T13" i="23"/>
  <c r="T16" i="23" s="1"/>
  <c r="T14" i="23"/>
  <c r="T43" i="23"/>
  <c r="T29" i="23"/>
  <c r="T35" i="23"/>
  <c r="T17" i="23"/>
  <c r="T24" i="23"/>
  <c r="T15" i="23"/>
  <c r="T49" i="23"/>
  <c r="T34" i="23"/>
  <c r="T31" i="23"/>
  <c r="T32" i="23"/>
  <c r="T33" i="23"/>
  <c r="T48" i="23"/>
  <c r="G32" i="30"/>
  <c r="H32" i="30"/>
  <c r="J32" i="30"/>
  <c r="I32" i="30"/>
  <c r="S46" i="23"/>
  <c r="S50" i="23" s="1"/>
  <c r="U46" i="23"/>
  <c r="R46" i="23"/>
  <c r="R50" i="23" s="1"/>
  <c r="Q46" i="23"/>
  <c r="Q50" i="23" s="1"/>
  <c r="F34" i="21" s="1"/>
  <c r="T46" i="23"/>
  <c r="T50" i="23" s="1"/>
  <c r="P50" i="23"/>
  <c r="F80" i="21"/>
  <c r="G18" i="30"/>
  <c r="J18" i="30"/>
  <c r="I18" i="30"/>
  <c r="H18" i="30"/>
  <c r="K18" i="30"/>
  <c r="H33" i="30"/>
  <c r="J33" i="30"/>
  <c r="I33" i="30"/>
  <c r="G33" i="30"/>
  <c r="G31" i="30"/>
  <c r="I31" i="30"/>
  <c r="H31" i="30"/>
  <c r="J31" i="30"/>
  <c r="H34" i="30"/>
  <c r="I34" i="30"/>
  <c r="G34" i="30"/>
  <c r="J34" i="30"/>
  <c r="N76" i="21"/>
  <c r="G35" i="30"/>
  <c r="H35" i="30"/>
  <c r="I35" i="30"/>
  <c r="J35" i="30"/>
  <c r="L33" i="21"/>
  <c r="G33" i="21"/>
  <c r="M33" i="21"/>
  <c r="N33" i="21"/>
  <c r="N85" i="21" s="1"/>
  <c r="J21" i="30"/>
  <c r="G21" i="30"/>
  <c r="I21" i="30"/>
  <c r="H21" i="30"/>
  <c r="K21" i="30"/>
  <c r="F81" i="21"/>
  <c r="I20" i="30"/>
  <c r="G20" i="30"/>
  <c r="H20" i="30"/>
  <c r="F82" i="21"/>
  <c r="G45" i="21"/>
  <c r="L45" i="21"/>
  <c r="M45" i="21"/>
  <c r="N45" i="21"/>
  <c r="D35" i="15"/>
  <c r="D70" i="15"/>
  <c r="F77" i="21"/>
  <c r="S16" i="23"/>
  <c r="H19" i="30"/>
  <c r="G19" i="30"/>
  <c r="I19" i="30"/>
  <c r="K19" i="30"/>
  <c r="J19" i="30"/>
  <c r="S44" i="23"/>
  <c r="AG34" i="21" l="1"/>
  <c r="AF34" i="21"/>
  <c r="D77" i="15"/>
  <c r="D42" i="15"/>
  <c r="M36" i="30"/>
  <c r="M44" i="30" s="1"/>
  <c r="L36" i="30"/>
  <c r="M22" i="30"/>
  <c r="K36" i="30"/>
  <c r="L22" i="30"/>
  <c r="R71" i="21"/>
  <c r="R73" i="21"/>
  <c r="R69" i="21"/>
  <c r="R70" i="21"/>
  <c r="U73" i="21"/>
  <c r="U69" i="21"/>
  <c r="U71" i="21"/>
  <c r="U70" i="21"/>
  <c r="O84" i="21"/>
  <c r="P32" i="21"/>
  <c r="AB73" i="21"/>
  <c r="AB69" i="21"/>
  <c r="AB71" i="21"/>
  <c r="AB70" i="21"/>
  <c r="AG73" i="21"/>
  <c r="AG71" i="21"/>
  <c r="AG69" i="21"/>
  <c r="AG70" i="21"/>
  <c r="AE73" i="21"/>
  <c r="AE69" i="21"/>
  <c r="AE71" i="21"/>
  <c r="AE70" i="21"/>
  <c r="T73" i="21"/>
  <c r="T69" i="21"/>
  <c r="T71" i="21"/>
  <c r="T70" i="21"/>
  <c r="Y71" i="21"/>
  <c r="Y73" i="21"/>
  <c r="Y69" i="21"/>
  <c r="Y70" i="21"/>
  <c r="W73" i="21"/>
  <c r="W71" i="21"/>
  <c r="W69" i="21"/>
  <c r="W70" i="21"/>
  <c r="P73" i="21"/>
  <c r="P69" i="21"/>
  <c r="P71" i="21"/>
  <c r="P70" i="21"/>
  <c r="AC73" i="21"/>
  <c r="AC69" i="21"/>
  <c r="AC71" i="21"/>
  <c r="AC70" i="21"/>
  <c r="Q73" i="21"/>
  <c r="Q71" i="21"/>
  <c r="Q69" i="21"/>
  <c r="Q70" i="21"/>
  <c r="O69" i="21"/>
  <c r="O71" i="21"/>
  <c r="O73" i="21"/>
  <c r="O70" i="21"/>
  <c r="Z71" i="21"/>
  <c r="Z73" i="21"/>
  <c r="Z69" i="21"/>
  <c r="Z70" i="21"/>
  <c r="S34" i="21"/>
  <c r="S86" i="21" s="1"/>
  <c r="AA34" i="21"/>
  <c r="AA86" i="21" s="1"/>
  <c r="AC34" i="21"/>
  <c r="AC86" i="21" s="1"/>
  <c r="AG86" i="21"/>
  <c r="T34" i="21"/>
  <c r="T86" i="21" s="1"/>
  <c r="AB34" i="21"/>
  <c r="AB86" i="21" s="1"/>
  <c r="R34" i="21"/>
  <c r="R86" i="21" s="1"/>
  <c r="U34" i="21"/>
  <c r="U86" i="21" s="1"/>
  <c r="Q34" i="21"/>
  <c r="Q86" i="21" s="1"/>
  <c r="V34" i="21"/>
  <c r="V86" i="21" s="1"/>
  <c r="AD34" i="21"/>
  <c r="AD86" i="21" s="1"/>
  <c r="AE34" i="21"/>
  <c r="AE86" i="21" s="1"/>
  <c r="Z34" i="21"/>
  <c r="Z86" i="21" s="1"/>
  <c r="O34" i="21"/>
  <c r="O86" i="21" s="1"/>
  <c r="W34" i="21"/>
  <c r="W86" i="21" s="1"/>
  <c r="P34" i="21"/>
  <c r="P86" i="21" s="1"/>
  <c r="X34" i="21"/>
  <c r="X86" i="21" s="1"/>
  <c r="AF86" i="21"/>
  <c r="Y34" i="21"/>
  <c r="Y86" i="21" s="1"/>
  <c r="AA73" i="21"/>
  <c r="AA71" i="21"/>
  <c r="AA69" i="21"/>
  <c r="AA70" i="21"/>
  <c r="V73" i="21"/>
  <c r="V71" i="21"/>
  <c r="V69" i="21"/>
  <c r="V70" i="21"/>
  <c r="S73" i="21"/>
  <c r="S71" i="21"/>
  <c r="S69" i="21"/>
  <c r="S70" i="21"/>
  <c r="AF73" i="21"/>
  <c r="AF69" i="21"/>
  <c r="AF71" i="21"/>
  <c r="AF70" i="21"/>
  <c r="Q31" i="21"/>
  <c r="Q83" i="21" s="1"/>
  <c r="AD73" i="21"/>
  <c r="AD69" i="21"/>
  <c r="AD71" i="21"/>
  <c r="AD70" i="21"/>
  <c r="X73" i="21"/>
  <c r="X69" i="21"/>
  <c r="X71" i="21"/>
  <c r="X70" i="21"/>
  <c r="F74" i="21"/>
  <c r="J36" i="30"/>
  <c r="J43" i="30" s="1"/>
  <c r="W40" i="19"/>
  <c r="V70" i="19"/>
  <c r="L34" i="21"/>
  <c r="M34" i="21"/>
  <c r="N34" i="21"/>
  <c r="N86" i="21" s="1"/>
  <c r="G34" i="21"/>
  <c r="F75" i="21"/>
  <c r="K22" i="30"/>
  <c r="N73" i="21"/>
  <c r="N71" i="21"/>
  <c r="N69" i="21"/>
  <c r="N70" i="21"/>
  <c r="F85" i="21"/>
  <c r="J22" i="30"/>
  <c r="D36" i="15"/>
  <c r="D72" i="15" s="1"/>
  <c r="D71" i="15"/>
  <c r="F76" i="21"/>
  <c r="U41" i="23"/>
  <c r="U8" i="23"/>
  <c r="U25" i="23"/>
  <c r="U33" i="23"/>
  <c r="U36" i="23"/>
  <c r="U24" i="23"/>
  <c r="U19" i="23"/>
  <c r="U27" i="23"/>
  <c r="U34" i="23"/>
  <c r="U47" i="23"/>
  <c r="U21" i="23"/>
  <c r="U49" i="23"/>
  <c r="U50" i="23" s="1"/>
  <c r="U42" i="23"/>
  <c r="U37" i="23"/>
  <c r="U28" i="23"/>
  <c r="U13" i="23"/>
  <c r="U16" i="23" s="1"/>
  <c r="U35" i="23"/>
  <c r="U32" i="23"/>
  <c r="U48" i="23"/>
  <c r="U29" i="23"/>
  <c r="U31" i="23"/>
  <c r="U18" i="23"/>
  <c r="U15" i="23"/>
  <c r="U23" i="23"/>
  <c r="U22" i="23"/>
  <c r="U20" i="23"/>
  <c r="U26" i="23"/>
  <c r="U38" i="23"/>
  <c r="U30" i="23"/>
  <c r="U14" i="23"/>
  <c r="U17" i="23"/>
  <c r="U43" i="23"/>
  <c r="U40" i="23"/>
  <c r="D43" i="15" l="1"/>
  <c r="D79" i="15" s="1"/>
  <c r="D78" i="15"/>
  <c r="O89" i="21"/>
  <c r="R72" i="21"/>
  <c r="AC72" i="21"/>
  <c r="AC78" i="21" s="1"/>
  <c r="P72" i="21"/>
  <c r="P78" i="21" s="1"/>
  <c r="AE72" i="21"/>
  <c r="AB72" i="21"/>
  <c r="AB78" i="21" s="1"/>
  <c r="M43" i="30"/>
  <c r="L39" i="30"/>
  <c r="L41" i="30"/>
  <c r="L42" i="30"/>
  <c r="L48" i="30" s="1"/>
  <c r="K43" i="30"/>
  <c r="K44" i="30"/>
  <c r="M42" i="30"/>
  <c r="M48" i="30" s="1"/>
  <c r="M39" i="30"/>
  <c r="M41" i="30"/>
  <c r="L43" i="30"/>
  <c r="L44" i="30"/>
  <c r="K42" i="30"/>
  <c r="K48" i="30" s="1"/>
  <c r="K41" i="30"/>
  <c r="K39" i="30"/>
  <c r="AE78" i="21"/>
  <c r="R78" i="21"/>
  <c r="AF72" i="21"/>
  <c r="AF78" i="21" s="1"/>
  <c r="AG72" i="21"/>
  <c r="AG78" i="21" s="1"/>
  <c r="X72" i="21"/>
  <c r="X78" i="21" s="1"/>
  <c r="O72" i="21"/>
  <c r="O78" i="21" s="1"/>
  <c r="O91" i="21" s="1"/>
  <c r="W72" i="21"/>
  <c r="W78" i="21" s="1"/>
  <c r="Z72" i="21"/>
  <c r="Z78" i="21" s="1"/>
  <c r="T72" i="21"/>
  <c r="T78" i="21" s="1"/>
  <c r="AA72" i="21"/>
  <c r="AA78" i="21" s="1"/>
  <c r="Q72" i="21"/>
  <c r="Q78" i="21" s="1"/>
  <c r="Q32" i="21"/>
  <c r="P84" i="21"/>
  <c r="P89" i="21" s="1"/>
  <c r="R31" i="21"/>
  <c r="R83" i="21" s="1"/>
  <c r="U72" i="21"/>
  <c r="U78" i="21" s="1"/>
  <c r="AD72" i="21"/>
  <c r="AD78" i="21" s="1"/>
  <c r="Y72" i="21"/>
  <c r="Y78" i="21" s="1"/>
  <c r="S72" i="21"/>
  <c r="S78" i="21" s="1"/>
  <c r="V72" i="21"/>
  <c r="V78" i="21" s="1"/>
  <c r="J44" i="30"/>
  <c r="X40" i="19"/>
  <c r="W70" i="19"/>
  <c r="F70" i="21"/>
  <c r="N72" i="21"/>
  <c r="F69" i="21"/>
  <c r="F86" i="21"/>
  <c r="F73" i="21"/>
  <c r="J39" i="30"/>
  <c r="J42" i="30"/>
  <c r="J48" i="30" s="1"/>
  <c r="J41" i="30"/>
  <c r="F71" i="21"/>
  <c r="N89" i="21"/>
  <c r="U44" i="23"/>
  <c r="L46" i="30" l="1"/>
  <c r="L45" i="30"/>
  <c r="M46" i="30"/>
  <c r="M45" i="30"/>
  <c r="K46" i="30"/>
  <c r="K45" i="30"/>
  <c r="P91" i="21"/>
  <c r="S31" i="21"/>
  <c r="S83" i="21" s="1"/>
  <c r="R32" i="21"/>
  <c r="Q84" i="21"/>
  <c r="Q89" i="21" s="1"/>
  <c r="Q91" i="21" s="1"/>
  <c r="Y40" i="19"/>
  <c r="Z40" i="19" s="1"/>
  <c r="AA40" i="19" s="1"/>
  <c r="AB40" i="19" s="1"/>
  <c r="X70" i="19"/>
  <c r="J46" i="30"/>
  <c r="J45" i="30"/>
  <c r="N78" i="21"/>
  <c r="F72" i="21"/>
  <c r="L51" i="30" l="1"/>
  <c r="L50" i="30"/>
  <c r="L49" i="30"/>
  <c r="M50" i="30"/>
  <c r="M49" i="30"/>
  <c r="M51" i="30"/>
  <c r="K51" i="30"/>
  <c r="K50" i="30"/>
  <c r="K49" i="30"/>
  <c r="T31" i="21"/>
  <c r="T83" i="21" s="1"/>
  <c r="S32" i="21"/>
  <c r="R84" i="21"/>
  <c r="R89" i="21" s="1"/>
  <c r="R91" i="21" s="1"/>
  <c r="AC40" i="19"/>
  <c r="AC70" i="19" s="1"/>
  <c r="AG88" i="21" s="1"/>
  <c r="AB70" i="19"/>
  <c r="J50" i="30"/>
  <c r="J49" i="30"/>
  <c r="J51" i="30"/>
  <c r="F78" i="21"/>
  <c r="N91" i="21"/>
  <c r="T32" i="21" l="1"/>
  <c r="S84" i="21"/>
  <c r="S89" i="21" s="1"/>
  <c r="S91" i="21" s="1"/>
  <c r="U31" i="21"/>
  <c r="U83" i="21" s="1"/>
  <c r="F88" i="21"/>
  <c r="V31" i="21" l="1"/>
  <c r="V83" i="21" s="1"/>
  <c r="U32" i="21"/>
  <c r="T84" i="21"/>
  <c r="T89" i="21" s="1"/>
  <c r="T91" i="21" l="1"/>
  <c r="V32" i="21"/>
  <c r="U84" i="21"/>
  <c r="U89" i="21" s="1"/>
  <c r="U91" i="21" s="1"/>
  <c r="W31" i="21"/>
  <c r="W83" i="21" s="1"/>
  <c r="X31" i="21" l="1"/>
  <c r="X83" i="21" s="1"/>
  <c r="W32" i="21"/>
  <c r="V84" i="21"/>
  <c r="V89" i="21" s="1"/>
  <c r="V91" i="21" l="1"/>
  <c r="X32" i="21"/>
  <c r="W84" i="21"/>
  <c r="W89" i="21"/>
  <c r="W91" i="21" s="1"/>
  <c r="Y31" i="21"/>
  <c r="Y83" i="21" s="1"/>
  <c r="Z31" i="21" l="1"/>
  <c r="Z83" i="21" s="1"/>
  <c r="Y32" i="21"/>
  <c r="X84" i="21"/>
  <c r="X89" i="21" s="1"/>
  <c r="X91" i="21" l="1"/>
  <c r="Z32" i="21"/>
  <c r="Y84" i="21"/>
  <c r="Y89" i="21"/>
  <c r="Y91" i="21" s="1"/>
  <c r="AA31" i="21"/>
  <c r="AA83" i="21" s="1"/>
  <c r="AB31" i="21" l="1"/>
  <c r="AB83" i="21" s="1"/>
  <c r="AA32" i="21"/>
  <c r="Z84" i="21"/>
  <c r="Z89" i="21" s="1"/>
  <c r="Z91" i="21" s="1"/>
  <c r="AB32" i="21" l="1"/>
  <c r="AA84" i="21"/>
  <c r="AA89" i="21" s="1"/>
  <c r="AA91" i="21" s="1"/>
  <c r="AC31" i="21"/>
  <c r="AC83" i="21" s="1"/>
  <c r="AC32" i="21" l="1"/>
  <c r="AB84" i="21"/>
  <c r="AB89" i="21" s="1"/>
  <c r="AB91" i="21" s="1"/>
  <c r="AD31" i="21"/>
  <c r="AD83" i="21" s="1"/>
  <c r="AE31" i="21" l="1"/>
  <c r="AD32" i="21"/>
  <c r="AC84" i="21"/>
  <c r="AC89" i="21" s="1"/>
  <c r="AC91" i="21" s="1"/>
  <c r="AF31" i="21" l="1"/>
  <c r="AE83" i="21"/>
  <c r="AE32" i="21"/>
  <c r="AF32" i="21" s="1"/>
  <c r="AG32" i="21" s="1"/>
  <c r="AD84" i="21"/>
  <c r="AD89" i="21" s="1"/>
  <c r="AD91" i="21" s="1"/>
  <c r="AG31" i="21" l="1"/>
  <c r="AG83" i="21" s="1"/>
  <c r="AF83" i="21"/>
  <c r="AE84" i="21"/>
  <c r="AE89" i="21" s="1"/>
  <c r="AE91" i="21" s="1"/>
  <c r="F83" i="21" l="1"/>
  <c r="AG84" i="21"/>
  <c r="AF84" i="21"/>
  <c r="AF89" i="21" s="1"/>
  <c r="AF91" i="21" s="1"/>
  <c r="F84" i="21" l="1"/>
  <c r="F92" i="21" s="1"/>
  <c r="AG89" i="21"/>
  <c r="AG91" i="21" s="1"/>
  <c r="F89" i="21" l="1"/>
  <c r="F91" i="21"/>
  <c r="F93" i="21"/>
</calcChain>
</file>

<file path=xl/comments1.xml><?xml version="1.0" encoding="utf-8"?>
<comments xmlns="http://schemas.openxmlformats.org/spreadsheetml/2006/main">
  <authors>
    <author>Elena Molinaro</author>
  </authors>
  <commentList>
    <comment ref="C32" authorId="0" shapeId="0">
      <text>
        <r>
          <rPr>
            <b/>
            <sz val="9"/>
            <color indexed="81"/>
            <rFont val="Tahoma"/>
            <family val="2"/>
          </rPr>
          <t xml:space="preserve">MIT: </t>
        </r>
        <r>
          <rPr>
            <sz val="9"/>
            <color indexed="81"/>
            <rFont val="Tahoma"/>
            <family val="2"/>
          </rPr>
          <t xml:space="preserve">da compilarsi solo per le linee esercite sull’infrastruttura oggetto di intervento
</t>
        </r>
      </text>
    </comment>
    <comment ref="C33" authorId="0" shapeId="0">
      <text>
        <r>
          <rPr>
            <b/>
            <sz val="9"/>
            <color indexed="81"/>
            <rFont val="Tahoma"/>
            <family val="2"/>
          </rPr>
          <t xml:space="preserve">MIT: </t>
        </r>
        <r>
          <rPr>
            <sz val="9"/>
            <color indexed="81"/>
            <rFont val="Tahoma"/>
            <family val="2"/>
          </rPr>
          <t>da compilarsi solo per le linee esercite sull’infrastruttura oggetto di intervento</t>
        </r>
      </text>
    </comment>
    <comment ref="C59" authorId="0" shapeId="0">
      <text>
        <r>
          <rPr>
            <b/>
            <sz val="9"/>
            <color indexed="81"/>
            <rFont val="Tahoma"/>
            <family val="2"/>
          </rPr>
          <t xml:space="preserve">MIT: </t>
        </r>
        <r>
          <rPr>
            <sz val="9"/>
            <color indexed="81"/>
            <rFont val="Tahoma"/>
            <family val="2"/>
          </rPr>
          <t xml:space="preserve">da compilarsi solo per le linee esercite sull’infrastruttura oggetto di intervento
</t>
        </r>
      </text>
    </comment>
    <comment ref="C60" authorId="0" shapeId="0">
      <text>
        <r>
          <rPr>
            <b/>
            <sz val="9"/>
            <color indexed="81"/>
            <rFont val="Tahoma"/>
            <family val="2"/>
          </rPr>
          <t xml:space="preserve">MIT: </t>
        </r>
        <r>
          <rPr>
            <sz val="9"/>
            <color indexed="81"/>
            <rFont val="Tahoma"/>
            <family val="2"/>
          </rPr>
          <t>da compilarsi solo per le linee esercite sull’infrastruttura oggetto di intervento</t>
        </r>
      </text>
    </comment>
    <comment ref="C85" authorId="0" shapeId="0">
      <text>
        <r>
          <rPr>
            <b/>
            <sz val="9"/>
            <color indexed="81"/>
            <rFont val="Tahoma"/>
            <family val="2"/>
          </rPr>
          <t xml:space="preserve">MIT: </t>
        </r>
        <r>
          <rPr>
            <sz val="9"/>
            <color indexed="81"/>
            <rFont val="Tahoma"/>
            <family val="2"/>
          </rPr>
          <t xml:space="preserve">da compilarsi solo per le linee esercite sull’infrastruttura oggetto di intervento
</t>
        </r>
      </text>
    </comment>
    <comment ref="C86" authorId="0" shapeId="0">
      <text>
        <r>
          <rPr>
            <b/>
            <sz val="9"/>
            <color indexed="81"/>
            <rFont val="Tahoma"/>
            <family val="2"/>
          </rPr>
          <t xml:space="preserve">MIT: </t>
        </r>
        <r>
          <rPr>
            <sz val="9"/>
            <color indexed="81"/>
            <rFont val="Tahoma"/>
            <family val="2"/>
          </rPr>
          <t>da compilarsi solo per le linee esercite sull’infrastruttura oggetto di intervento</t>
        </r>
      </text>
    </comment>
  </commentList>
</comments>
</file>

<file path=xl/comments2.xml><?xml version="1.0" encoding="utf-8"?>
<comments xmlns="http://schemas.openxmlformats.org/spreadsheetml/2006/main">
  <authors>
    <author>RAVASIO Mauro</author>
  </authors>
  <commentList>
    <comment ref="B28" authorId="0" shapeId="0">
      <text>
        <r>
          <rPr>
            <b/>
            <sz val="9"/>
            <color indexed="81"/>
            <rFont val="Tahoma"/>
            <family val="2"/>
          </rPr>
          <t>MIT:</t>
        </r>
        <r>
          <rPr>
            <sz val="9"/>
            <color indexed="81"/>
            <rFont val="Tahoma"/>
            <family val="2"/>
          </rPr>
          <t xml:space="preserve">
I costi di esercizio si assumeranno pari al costo indicato per l'anno 2018.
Per interventi che introducono nuovi “modi di trasporto" sul territorio si assumerà come costo 2018 il costo stimato per il primo anno di modellizzazione Yj</t>
        </r>
      </text>
    </comment>
    <comment ref="B80" authorId="0" shapeId="0">
      <text>
        <r>
          <rPr>
            <b/>
            <sz val="9"/>
            <color indexed="81"/>
            <rFont val="Tahoma"/>
            <family val="2"/>
          </rPr>
          <t>MIT:</t>
        </r>
        <r>
          <rPr>
            <sz val="9"/>
            <color indexed="81"/>
            <rFont val="Tahoma"/>
            <family val="2"/>
          </rPr>
          <t xml:space="preserve">
La moltiplicazione tra offerta e e costi chilometrici è valida soltanto se il costo chilometrico non varia tra scenario di riferimento e scenario di progetto. Vedi sopra. Aggiunta nota a pié di pagina nella Relazione.</t>
        </r>
      </text>
    </comment>
    <comment ref="G87" authorId="0" shapeId="0">
      <text>
        <r>
          <rPr>
            <b/>
            <sz val="9"/>
            <color indexed="81"/>
            <rFont val="Tahoma"/>
            <family val="2"/>
          </rPr>
          <t>MIT:</t>
        </r>
        <r>
          <rPr>
            <sz val="9"/>
            <color indexed="81"/>
            <rFont val="Tahoma"/>
            <family val="2"/>
          </rPr>
          <t xml:space="preserve">
I costi sostenuti tra Y0 e Y0-y compresi dovranno inoltre essere capitalizzati al tasso del 3% invece di essere semplicemente sommati come nella formula indicata nella cella.</t>
        </r>
      </text>
    </comment>
    <comment ref="AG88" authorId="0" shapeId="0">
      <text>
        <r>
          <rPr>
            <b/>
            <sz val="9"/>
            <color indexed="81"/>
            <rFont val="Tahoma"/>
            <family val="2"/>
          </rPr>
          <t>MIT:</t>
        </r>
        <r>
          <rPr>
            <sz val="9"/>
            <color indexed="81"/>
            <rFont val="Tahoma"/>
            <family val="2"/>
          </rPr>
          <t xml:space="preserve">
L'ultima cella riporta l'opposto del valore residuo.</t>
        </r>
      </text>
    </comment>
  </commentList>
</comments>
</file>

<file path=xl/sharedStrings.xml><?xml version="1.0" encoding="utf-8"?>
<sst xmlns="http://schemas.openxmlformats.org/spreadsheetml/2006/main" count="1335" uniqueCount="792">
  <si>
    <t>Stato di fatto</t>
  </si>
  <si>
    <t>Scenario di riferimento</t>
  </si>
  <si>
    <t>Unità</t>
  </si>
  <si>
    <t>Domanda annua</t>
  </si>
  <si>
    <t>Consistenza parco rotabile</t>
  </si>
  <si>
    <t>Rete metropolitana</t>
  </si>
  <si>
    <t>Rete tranviaria</t>
  </si>
  <si>
    <t>Rete autobus</t>
  </si>
  <si>
    <t>Rete ferroviaria suburbana</t>
  </si>
  <si>
    <t>di cui a piedi</t>
  </si>
  <si>
    <t>di cui in bicicletta</t>
  </si>
  <si>
    <t xml:space="preserve">di cui in trasporto pubblico </t>
  </si>
  <si>
    <t>di cui in moto</t>
  </si>
  <si>
    <t>di cui in auto</t>
  </si>
  <si>
    <t>di cui altro (e.g. taxi, car-sharing/pooling)</t>
  </si>
  <si>
    <t>Tema</t>
  </si>
  <si>
    <t>Indicatore</t>
  </si>
  <si>
    <t>Estensione della linea</t>
  </si>
  <si>
    <t>Minuti</t>
  </si>
  <si>
    <t>Capacità teorica della linea</t>
  </si>
  <si>
    <t>Capacità effettiva della linea</t>
  </si>
  <si>
    <t>Veicoli</t>
  </si>
  <si>
    <t>Domanda giornaliera</t>
  </si>
  <si>
    <t>%</t>
  </si>
  <si>
    <t>Saturazione</t>
  </si>
  <si>
    <t xml:space="preserve">% </t>
  </si>
  <si>
    <t>Scenario di progetto</t>
  </si>
  <si>
    <t>…</t>
  </si>
  <si>
    <t>Lunghezza (m)</t>
  </si>
  <si>
    <t>Percorrenze totali (vkm)</t>
  </si>
  <si>
    <t>Percorrenze medie (vkm/veicolo)</t>
  </si>
  <si>
    <t>Costo di manutenzione medio (€/vkm)</t>
  </si>
  <si>
    <t>Consumo medio (l/vkm o kWh/vkm)</t>
  </si>
  <si>
    <t>Età media (anni/veicolo)</t>
  </si>
  <si>
    <t>Capacità (pax/veicolo)</t>
  </si>
  <si>
    <t>TOTALE</t>
  </si>
  <si>
    <t>Fermate/stazioni (bidirezionali)</t>
  </si>
  <si>
    <t>Numero</t>
  </si>
  <si>
    <t>Spostamenti/giorno (in O o D)</t>
  </si>
  <si>
    <t>Capacità del materiale rotabile</t>
  </si>
  <si>
    <t>Materiale rotabile necessario all'esercizio</t>
  </si>
  <si>
    <r>
      <t>Anno Y</t>
    </r>
    <r>
      <rPr>
        <b/>
        <vertAlign val="subscript"/>
        <sz val="11"/>
        <color indexed="9"/>
        <rFont val="Arial Narrow"/>
        <family val="2"/>
      </rPr>
      <t>i</t>
    </r>
  </si>
  <si>
    <t>Gruppo</t>
  </si>
  <si>
    <t>Indice</t>
  </si>
  <si>
    <t>Componente progetto</t>
  </si>
  <si>
    <t>Totale</t>
  </si>
  <si>
    <r>
      <t>Anno Y</t>
    </r>
    <r>
      <rPr>
        <b/>
        <vertAlign val="subscript"/>
        <sz val="11"/>
        <color indexed="9"/>
        <rFont val="Arial Narrow"/>
        <family val="2"/>
      </rPr>
      <t>0-y</t>
    </r>
    <r>
      <rPr>
        <b/>
        <sz val="11"/>
        <color indexed="9"/>
        <rFont val="Arial Narrow"/>
        <family val="2"/>
      </rPr>
      <t xml:space="preserve"> </t>
    </r>
  </si>
  <si>
    <t>Costi generali</t>
  </si>
  <si>
    <t>C801</t>
  </si>
  <si>
    <t>Studi preliminari e progettazione</t>
  </si>
  <si>
    <t>C802</t>
  </si>
  <si>
    <t>Costi generali dell'ente appaltante</t>
  </si>
  <si>
    <t>C803</t>
  </si>
  <si>
    <t>Direzione dei lavori e supervisione</t>
  </si>
  <si>
    <t>C804</t>
  </si>
  <si>
    <t>Espropri</t>
  </si>
  <si>
    <t>C805</t>
  </si>
  <si>
    <t>C808</t>
  </si>
  <si>
    <t>C809</t>
  </si>
  <si>
    <t>C810</t>
  </si>
  <si>
    <t>C811</t>
  </si>
  <si>
    <t>C812</t>
  </si>
  <si>
    <t>C813</t>
  </si>
  <si>
    <t>C814</t>
  </si>
  <si>
    <t>C815</t>
  </si>
  <si>
    <t>C816</t>
  </si>
  <si>
    <t>C817</t>
  </si>
  <si>
    <t>C818</t>
  </si>
  <si>
    <t>C819</t>
  </si>
  <si>
    <t>C820</t>
  </si>
  <si>
    <t>C821</t>
  </si>
  <si>
    <t>Materiale rotabile (filobus)</t>
  </si>
  <si>
    <t>C822</t>
  </si>
  <si>
    <t>C823</t>
  </si>
  <si>
    <t>C824</t>
  </si>
  <si>
    <t>C825</t>
  </si>
  <si>
    <t>C826</t>
  </si>
  <si>
    <t>Sistemi di distribuzione e validazione biglietti</t>
  </si>
  <si>
    <t>C827</t>
  </si>
  <si>
    <t>C8</t>
  </si>
  <si>
    <t>Costo base</t>
  </si>
  <si>
    <t>CS</t>
  </si>
  <si>
    <t>Costi sicurezza</t>
  </si>
  <si>
    <t>CD</t>
  </si>
  <si>
    <t>Somme a disposizione</t>
  </si>
  <si>
    <t>CI</t>
  </si>
  <si>
    <t>Imprevisti</t>
  </si>
  <si>
    <t>CT</t>
  </si>
  <si>
    <t>IVA e altri trasferimenti (ad es. tasse, contributi, ecc.)</t>
  </si>
  <si>
    <t>CC</t>
  </si>
  <si>
    <t>Media ponderata (anni)</t>
  </si>
  <si>
    <t>VU807</t>
  </si>
  <si>
    <t>VU808</t>
  </si>
  <si>
    <t>VU809</t>
  </si>
  <si>
    <t>VU810</t>
  </si>
  <si>
    <t>VU811</t>
  </si>
  <si>
    <t>VU812</t>
  </si>
  <si>
    <t>VU813</t>
  </si>
  <si>
    <t>VU814</t>
  </si>
  <si>
    <t>VU815</t>
  </si>
  <si>
    <t>VU816</t>
  </si>
  <si>
    <t>VU817</t>
  </si>
  <si>
    <t>VU818</t>
  </si>
  <si>
    <t>VU819</t>
  </si>
  <si>
    <t>VU820</t>
  </si>
  <si>
    <t>VU821</t>
  </si>
  <si>
    <t>VU822</t>
  </si>
  <si>
    <t>VU823</t>
  </si>
  <si>
    <t>VU824</t>
  </si>
  <si>
    <t>VU825</t>
  </si>
  <si>
    <t>VU826</t>
  </si>
  <si>
    <t>VU827</t>
  </si>
  <si>
    <t>VU</t>
  </si>
  <si>
    <t>Vita utile del progetto</t>
  </si>
  <si>
    <r>
      <t>Anno Y</t>
    </r>
    <r>
      <rPr>
        <b/>
        <vertAlign val="subscript"/>
        <sz val="11"/>
        <color indexed="9"/>
        <rFont val="Arial Narrow"/>
        <family val="2"/>
      </rPr>
      <t>ESER-1</t>
    </r>
  </si>
  <si>
    <r>
      <t>Anno Y</t>
    </r>
    <r>
      <rPr>
        <b/>
        <vertAlign val="subscript"/>
        <sz val="11"/>
        <color indexed="9"/>
        <rFont val="Arial Narrow"/>
        <family val="2"/>
      </rPr>
      <t>ESER</t>
    </r>
  </si>
  <si>
    <t xml:space="preserve">Costo dei rinnovi e revisioni generali escluse dal costo di manutenzione ordinaria e straordinaria </t>
  </si>
  <si>
    <t>C907</t>
  </si>
  <si>
    <t>C908</t>
  </si>
  <si>
    <t>C909</t>
  </si>
  <si>
    <t>C910</t>
  </si>
  <si>
    <t>C911</t>
  </si>
  <si>
    <t>C912</t>
  </si>
  <si>
    <t>C913</t>
  </si>
  <si>
    <t>C914</t>
  </si>
  <si>
    <t>C915</t>
  </si>
  <si>
    <t>C916</t>
  </si>
  <si>
    <t>C917</t>
  </si>
  <si>
    <t>C918</t>
  </si>
  <si>
    <t>C919</t>
  </si>
  <si>
    <t>C920</t>
  </si>
  <si>
    <t>C921</t>
  </si>
  <si>
    <t>C922</t>
  </si>
  <si>
    <t>C923</t>
  </si>
  <si>
    <t>C924</t>
  </si>
  <si>
    <t>C925</t>
  </si>
  <si>
    <t>C926</t>
  </si>
  <si>
    <t>C927</t>
  </si>
  <si>
    <t>C9</t>
  </si>
  <si>
    <t>Totale rinnovi</t>
  </si>
  <si>
    <t>Valore residuo</t>
  </si>
  <si>
    <t>VR807</t>
  </si>
  <si>
    <t>VR808</t>
  </si>
  <si>
    <t>VR809</t>
  </si>
  <si>
    <t>VR810</t>
  </si>
  <si>
    <t>VR811</t>
  </si>
  <si>
    <t>VR812</t>
  </si>
  <si>
    <t>VR813</t>
  </si>
  <si>
    <t>VR814</t>
  </si>
  <si>
    <t>VR815</t>
  </si>
  <si>
    <t>VR816</t>
  </si>
  <si>
    <t>VR817</t>
  </si>
  <si>
    <t>VR818</t>
  </si>
  <si>
    <t>VR819</t>
  </si>
  <si>
    <t>VR820</t>
  </si>
  <si>
    <t>VR821</t>
  </si>
  <si>
    <t>VR822</t>
  </si>
  <si>
    <t>VR823</t>
  </si>
  <si>
    <t>VR824</t>
  </si>
  <si>
    <t>VR825</t>
  </si>
  <si>
    <t>VR826</t>
  </si>
  <si>
    <t>VR827</t>
  </si>
  <si>
    <t>VR</t>
  </si>
  <si>
    <t>Valore residuo del progetto</t>
  </si>
  <si>
    <t>Costo dell'area esercizio</t>
  </si>
  <si>
    <t>di cui costo del personale di guida</t>
  </si>
  <si>
    <t>di cui costo di altro personale di movimento</t>
  </si>
  <si>
    <t>di cui costo di energia di trazione</t>
  </si>
  <si>
    <t>di cui costo per i rotabili (ammortamenti e canoni d'affitto/leasing)</t>
  </si>
  <si>
    <t>di cui costo per la manutenzione di esercizio, pulizia, vigilanza e sicurezza dei rotabili</t>
  </si>
  <si>
    <t>Costo per la manutenzione di esercizio, pulizia, vigilanza e sicurezza dell'infrastruttura</t>
  </si>
  <si>
    <t>Costo per l'energia delle stazioni</t>
  </si>
  <si>
    <t>Costi generali e amministrativi</t>
  </si>
  <si>
    <t>Costo del capitale investito netto</t>
  </si>
  <si>
    <t>Modello Z1</t>
  </si>
  <si>
    <t>Modello Zi</t>
  </si>
  <si>
    <t>Modello ZN</t>
  </si>
  <si>
    <r>
      <t>Anno Y</t>
    </r>
    <r>
      <rPr>
        <b/>
        <vertAlign val="subscript"/>
        <sz val="11"/>
        <color indexed="9"/>
        <rFont val="Arial Narrow"/>
        <family val="2"/>
      </rPr>
      <t>ESER+x</t>
    </r>
  </si>
  <si>
    <t>Variabile/parametro/beneficio</t>
  </si>
  <si>
    <t>B1</t>
  </si>
  <si>
    <t>B2</t>
  </si>
  <si>
    <t>B3</t>
  </si>
  <si>
    <t>B4</t>
  </si>
  <si>
    <t>B5</t>
  </si>
  <si>
    <t>C1</t>
  </si>
  <si>
    <t>Variazioni dei costi d'esercizio della rete metropolitana</t>
  </si>
  <si>
    <t>C2</t>
  </si>
  <si>
    <t>Variazioni dei costi d'esercizio della rete tranviaria</t>
  </si>
  <si>
    <t>C3</t>
  </si>
  <si>
    <t>Variazioni dei costi d'esercizio della rete filoviaria</t>
  </si>
  <si>
    <t>C4</t>
  </si>
  <si>
    <t>Variazioni dei costi d'esercizio della rete altro TPL</t>
  </si>
  <si>
    <t>C5</t>
  </si>
  <si>
    <t>Variazioni dei costi d'esercizio della rete autobus</t>
  </si>
  <si>
    <t>C6</t>
  </si>
  <si>
    <t>Variazioni dei costi d'esercizio della rete stradale (auto)</t>
  </si>
  <si>
    <t>C7</t>
  </si>
  <si>
    <t>Variazioni dei costi d'esercizio della rete stradale (moto)</t>
  </si>
  <si>
    <t>CTOT</t>
  </si>
  <si>
    <t>TOTALE COSTI ECONOMICI</t>
  </si>
  <si>
    <t>Linee d'esercizio</t>
  </si>
  <si>
    <t>Costo per l'utilizzo dell'infrastruttura, comprensivo del costo della relativa manutenzione straordinaria</t>
  </si>
  <si>
    <t>Evoluzione della flotta (quantità)</t>
  </si>
  <si>
    <t>Costo complessivo (QEG)</t>
  </si>
  <si>
    <t>Pesi</t>
  </si>
  <si>
    <t>Vita fisica (anni)</t>
  </si>
  <si>
    <t>Offerta</t>
  </si>
  <si>
    <t>P1</t>
  </si>
  <si>
    <t>Variazione percorrenze rete metropolitana</t>
  </si>
  <si>
    <t>P2</t>
  </si>
  <si>
    <t>Variazione percorrenze rete tranviaria</t>
  </si>
  <si>
    <t>P3</t>
  </si>
  <si>
    <t>Variazione percorrenze rete filoviaria</t>
  </si>
  <si>
    <t>P4</t>
  </si>
  <si>
    <t>Variazione percorrenze altro TPL su impianti fissi</t>
  </si>
  <si>
    <t>P5</t>
  </si>
  <si>
    <t>Variazione percorrenze rete bus</t>
  </si>
  <si>
    <t>P6</t>
  </si>
  <si>
    <t>Variazione percorrenze auto</t>
  </si>
  <si>
    <t>P7</t>
  </si>
  <si>
    <t>Variazione percorrenze moto</t>
  </si>
  <si>
    <t>O1</t>
  </si>
  <si>
    <t>Costo medio rete metropolitana</t>
  </si>
  <si>
    <t>O2</t>
  </si>
  <si>
    <t>Costo medio rete tranviaria</t>
  </si>
  <si>
    <t>O3</t>
  </si>
  <si>
    <t>Costo medio rete filoviaria</t>
  </si>
  <si>
    <t>O4</t>
  </si>
  <si>
    <t>Costo medio altro TPL su impianti fissi</t>
  </si>
  <si>
    <t>O5</t>
  </si>
  <si>
    <t>Costo medio rete bus</t>
  </si>
  <si>
    <t>O6</t>
  </si>
  <si>
    <t>Costo medio auto</t>
  </si>
  <si>
    <t>O7</t>
  </si>
  <si>
    <t>Costo medio moto</t>
  </si>
  <si>
    <r>
      <t>Anno Y</t>
    </r>
    <r>
      <rPr>
        <b/>
        <vertAlign val="subscript"/>
        <sz val="11"/>
        <color indexed="9"/>
        <rFont val="Arial Narrow"/>
        <family val="2"/>
      </rPr>
      <t>O/D</t>
    </r>
  </si>
  <si>
    <t>Lavori preliminari e impianto cantiere</t>
  </si>
  <si>
    <t>Gallerie di linea e stazioni</t>
  </si>
  <si>
    <t>Pozzi e manufatti di inter-tratta</t>
  </si>
  <si>
    <t>Edifici diversi da stazioni e deposito (opere al rustico e finiture)</t>
  </si>
  <si>
    <t>Piattaforma sede ferroviaria o stradale</t>
  </si>
  <si>
    <t>Sovrastruttura ferroviaira/tramviaria</t>
  </si>
  <si>
    <t>Sovrastruttura stradale dedicata</t>
  </si>
  <si>
    <t>Stazioni/fermate tram o filobus</t>
  </si>
  <si>
    <t>Stazioni metro aperte</t>
  </si>
  <si>
    <t>Stazioni metro chiuse sotterranee superficiali</t>
  </si>
  <si>
    <t>Stazioni metro chiuse sotterranee profonde</t>
  </si>
  <si>
    <t>Deposito (opere al rustico e finiture, escluso impianti)</t>
  </si>
  <si>
    <t>Impianti di ventilazione di linea e di stazione</t>
  </si>
  <si>
    <t>Impianti di prevenzione e protezione incendi di linea e di stazione</t>
  </si>
  <si>
    <t>Impianti di telecomunicazione e sicurezza di linea e di stazione</t>
  </si>
  <si>
    <t>Impianti di traslazione</t>
  </si>
  <si>
    <t>Altri impianti civili</t>
  </si>
  <si>
    <t>Costi opere civili, impianti civili e sistemi di comunicazione e sicurezza</t>
  </si>
  <si>
    <t>C828</t>
  </si>
  <si>
    <t>C829</t>
  </si>
  <si>
    <t>C830</t>
  </si>
  <si>
    <t>C831</t>
  </si>
  <si>
    <t>C832</t>
  </si>
  <si>
    <t>C833</t>
  </si>
  <si>
    <t>Sistema di alimentazione e sezionamento</t>
  </si>
  <si>
    <t>Linea di contatto</t>
  </si>
  <si>
    <t>Sistema di automazione (SCADA)</t>
  </si>
  <si>
    <t>Segnalamento, telecomunicazioni T/B e sistemi di gestione esercizio</t>
  </si>
  <si>
    <t xml:space="preserve">Deposito </t>
  </si>
  <si>
    <t>Altro</t>
  </si>
  <si>
    <t>Costi impianti elettro-ferroviari</t>
  </si>
  <si>
    <t>VU828</t>
  </si>
  <si>
    <t>VU829</t>
  </si>
  <si>
    <t>VU830</t>
  </si>
  <si>
    <t>VU831</t>
  </si>
  <si>
    <t>VU832</t>
  </si>
  <si>
    <t>VU833</t>
  </si>
  <si>
    <t>C928</t>
  </si>
  <si>
    <t>C929</t>
  </si>
  <si>
    <t>C930</t>
  </si>
  <si>
    <t>C931</t>
  </si>
  <si>
    <t>C932</t>
  </si>
  <si>
    <t>C933</t>
  </si>
  <si>
    <t>VR828</t>
  </si>
  <si>
    <t>VR829</t>
  </si>
  <si>
    <t>VR830</t>
  </si>
  <si>
    <t>VR831</t>
  </si>
  <si>
    <t>VR832</t>
  </si>
  <si>
    <t>VR833</t>
  </si>
  <si>
    <t>B6</t>
  </si>
  <si>
    <t>B7</t>
  </si>
  <si>
    <r>
      <t>Anno Y</t>
    </r>
    <r>
      <rPr>
        <b/>
        <vertAlign val="subscript"/>
        <sz val="11"/>
        <color indexed="9"/>
        <rFont val="Arial Narrow"/>
        <family val="2"/>
      </rPr>
      <t>j</t>
    </r>
  </si>
  <si>
    <r>
      <t>Anno Y</t>
    </r>
    <r>
      <rPr>
        <b/>
        <vertAlign val="subscript"/>
        <sz val="11"/>
        <color indexed="9"/>
        <rFont val="Arial Narrow"/>
        <family val="2"/>
      </rPr>
      <t>k</t>
    </r>
  </si>
  <si>
    <t>di cui sistematici casa-studio/lavoro</t>
  </si>
  <si>
    <t>di cui occasionali per affari</t>
  </si>
  <si>
    <t>di cui occasionali per altri motivi</t>
  </si>
  <si>
    <t>a piedi</t>
  </si>
  <si>
    <t>in bicicletta</t>
  </si>
  <si>
    <t xml:space="preserve">in trasporto pubblico </t>
  </si>
  <si>
    <t>in moto</t>
  </si>
  <si>
    <t>in auto</t>
  </si>
  <si>
    <t>altro (e.g. taxi, car-sharing/pooling)</t>
  </si>
  <si>
    <t>Rete stradale</t>
  </si>
  <si>
    <t>Domanda potenziale nel corridoio (popolazione)</t>
  </si>
  <si>
    <t>Abitanti nel raggio di x metri</t>
  </si>
  <si>
    <t>Attrazione potenziale nel corridoio (lavoro)</t>
  </si>
  <si>
    <t>Addetti nel raggio di x metri</t>
  </si>
  <si>
    <t>Posti/veicolo</t>
  </si>
  <si>
    <t>Domanda</t>
  </si>
  <si>
    <t>D1</t>
  </si>
  <si>
    <t>Previsione domanda tendenziale</t>
  </si>
  <si>
    <t>D2</t>
  </si>
  <si>
    <t>Previsione domanda in diversione modale</t>
  </si>
  <si>
    <t>D3</t>
  </si>
  <si>
    <t>Previsione domanda indotta</t>
  </si>
  <si>
    <t>D4</t>
  </si>
  <si>
    <t>Domanda totale sulla linea in progetto</t>
  </si>
  <si>
    <t>D5</t>
  </si>
  <si>
    <t>Domanda osservata e prevista sulla rete stradale</t>
  </si>
  <si>
    <t>Tempo</t>
  </si>
  <si>
    <t>T1</t>
  </si>
  <si>
    <t>Variazione tempo domanda tendenziale</t>
  </si>
  <si>
    <t>Minuti/passeggero</t>
  </si>
  <si>
    <t>T2</t>
  </si>
  <si>
    <t>Variazione tempo domanda in diversione modale</t>
  </si>
  <si>
    <t>T3</t>
  </si>
  <si>
    <t>Variazione tempo domanda indotta</t>
  </si>
  <si>
    <t>T4</t>
  </si>
  <si>
    <t>Variazione media tempo domanda totale sulla linea in progetto</t>
  </si>
  <si>
    <t>T5</t>
  </si>
  <si>
    <t>Variazione media tempo domanda sulla rete stradale</t>
  </si>
  <si>
    <t>Emissioni CO2</t>
  </si>
  <si>
    <t>E1</t>
  </si>
  <si>
    <t>Consumo medio rete metropolitana</t>
  </si>
  <si>
    <t>E2</t>
  </si>
  <si>
    <t>Consumo medio rete tranviaria</t>
  </si>
  <si>
    <t>E3</t>
  </si>
  <si>
    <t>Consumo medio rete filoviaria</t>
  </si>
  <si>
    <t>E4</t>
  </si>
  <si>
    <t>Consumo medio altro TPL su impianti fissi</t>
  </si>
  <si>
    <t>E5</t>
  </si>
  <si>
    <t>Emissione CO2 media rete bus</t>
  </si>
  <si>
    <t>E6</t>
  </si>
  <si>
    <t>Emissione CO2 media auto</t>
  </si>
  <si>
    <t>E7</t>
  </si>
  <si>
    <t>Emissione CO2 media moto</t>
  </si>
  <si>
    <t>E8</t>
  </si>
  <si>
    <t>Emissione CO2 media rete elettrica</t>
  </si>
  <si>
    <t>Valori monetari</t>
  </si>
  <si>
    <t>Benefici</t>
  </si>
  <si>
    <t>Risparmi di tempo per la domanda tendenziale</t>
  </si>
  <si>
    <t>Risparmi di tempo per la domanda in diversione modale</t>
  </si>
  <si>
    <t>Risparmi di tempo per la domanda indotta</t>
  </si>
  <si>
    <t>Risparmi totali di tempo per gli utenti della linea in progetto</t>
  </si>
  <si>
    <t>Riduzione della congestione sulla rete stradale</t>
  </si>
  <si>
    <t>Riduzione dell'incidentalità stradale</t>
  </si>
  <si>
    <t>Riduzione delle emissioni inquinanti da traffico stradale</t>
  </si>
  <si>
    <t>B8</t>
  </si>
  <si>
    <t>Riduzione delle emissioni acustiche</t>
  </si>
  <si>
    <t>Riduzione delle emissioni di gas che concorrono al riscaldamento globale</t>
  </si>
  <si>
    <t>TOTALE BENEFICI ECONOMICI</t>
  </si>
  <si>
    <t>VAN</t>
  </si>
  <si>
    <t>TOTALE FLUSSI NETTI</t>
  </si>
  <si>
    <t>B/C</t>
  </si>
  <si>
    <t>RAPPORTO BENEFICI/COSTI</t>
  </si>
  <si>
    <t>Adimensionale</t>
  </si>
  <si>
    <t>TIR</t>
  </si>
  <si>
    <t>TASSO INTERNO DI RENDIMENTO</t>
  </si>
  <si>
    <t>Valore monetario</t>
  </si>
  <si>
    <t>Eurostat</t>
  </si>
  <si>
    <t>Prodotto Interno Lordo a prezzi di mercato (Italia)</t>
  </si>
  <si>
    <t>Euro/pro capite</t>
  </si>
  <si>
    <t>Crescita del Prodotto Interno Lordo p.c. a prezzi di mercato (Italia)</t>
  </si>
  <si>
    <t>Reddito Disponibile a prezzi di mercato (Italia)</t>
  </si>
  <si>
    <t>Crescita del Reddito Disponibile p.c. a prezzi di mercato (Italia)</t>
  </si>
  <si>
    <t>V001</t>
  </si>
  <si>
    <t>Valore del tempo spostamento sistematico casa-studio/lavoro</t>
  </si>
  <si>
    <t>V002</t>
  </si>
  <si>
    <t>Valore del tempo spostamento aleatorio (affari)</t>
  </si>
  <si>
    <t>V003</t>
  </si>
  <si>
    <t>Valore del tempo spostamento aleatorio (altro)</t>
  </si>
  <si>
    <t>V0</t>
  </si>
  <si>
    <t>Valore medio del tempo</t>
  </si>
  <si>
    <t>V1</t>
  </si>
  <si>
    <t>Costo marginale dell'incidentalità  (metro)</t>
  </si>
  <si>
    <t>V2</t>
  </si>
  <si>
    <t>Costo marginale dell'incidentalità  (tram)</t>
  </si>
  <si>
    <t>V3</t>
  </si>
  <si>
    <t>Costo marginale dell'incidentalità  (filobus)</t>
  </si>
  <si>
    <t>V4</t>
  </si>
  <si>
    <t>Costo marginale dell'incidentalità  (altro TPL)</t>
  </si>
  <si>
    <t>V5</t>
  </si>
  <si>
    <t>Costo marginale dell'incidentalità  (autobus)</t>
  </si>
  <si>
    <t>V6</t>
  </si>
  <si>
    <t>Costo marginale dell'incidentalità  (auto)</t>
  </si>
  <si>
    <t>V7</t>
  </si>
  <si>
    <t>Costo marginale dell'incidentalità  (moto)</t>
  </si>
  <si>
    <t>V8</t>
  </si>
  <si>
    <t>Costo marginale delle emissioni inquinanti (metro)</t>
  </si>
  <si>
    <t>V9</t>
  </si>
  <si>
    <t>Costo marginale delle emissioni inquinanti (tram)</t>
  </si>
  <si>
    <t>V10</t>
  </si>
  <si>
    <t>Costo marginale delle emissioni inquinanti (filobus)</t>
  </si>
  <si>
    <t>V11</t>
  </si>
  <si>
    <t>Costo marginale delle emissioni inquinanti (altro TPL)</t>
  </si>
  <si>
    <t>V12</t>
  </si>
  <si>
    <t>Costo marginale delle emissioni inquinanti (autobus)</t>
  </si>
  <si>
    <t>V13</t>
  </si>
  <si>
    <t>Costo marginale delle emissioni inquinanti (auto)</t>
  </si>
  <si>
    <t>V14</t>
  </si>
  <si>
    <t>Costo marginale delle emissioni inquinanti (moto)</t>
  </si>
  <si>
    <t>V15</t>
  </si>
  <si>
    <t>Costo marginale delle emissioni acustiche (metro)</t>
  </si>
  <si>
    <t>V16</t>
  </si>
  <si>
    <t>Costo marginale delle emissioni acustiche (tram)</t>
  </si>
  <si>
    <t>V17</t>
  </si>
  <si>
    <t>Costo marginale delle emissioni acustiche (filobus)</t>
  </si>
  <si>
    <t>V18</t>
  </si>
  <si>
    <t>Costo marginale delle emissioni acustiche (altro TPL)</t>
  </si>
  <si>
    <t>V19</t>
  </si>
  <si>
    <t>Costo marginale delle emissioni acustiche (autobus)</t>
  </si>
  <si>
    <t>V20</t>
  </si>
  <si>
    <t>Costo marginale delle emissioni acustiche (auto)</t>
  </si>
  <si>
    <t>V21</t>
  </si>
  <si>
    <t>Costo marginale delle emissioni acustiche (moto)</t>
  </si>
  <si>
    <t>V22</t>
  </si>
  <si>
    <t>Valore dell'anidride carbonica</t>
  </si>
  <si>
    <t>Euro/tonnellata</t>
  </si>
  <si>
    <t>Auto</t>
  </si>
  <si>
    <t>O601</t>
  </si>
  <si>
    <t>Costo quota capitale</t>
  </si>
  <si>
    <t>O602</t>
  </si>
  <si>
    <t>Costo carburante</t>
  </si>
  <si>
    <t>O603</t>
  </si>
  <si>
    <t>Costo pneumatici</t>
  </si>
  <si>
    <t>O604</t>
  </si>
  <si>
    <t>Costo manutenzione e riparazioni</t>
  </si>
  <si>
    <t>Costo medio proporzionale alla percorrenza</t>
  </si>
  <si>
    <t>Moto</t>
  </si>
  <si>
    <t>O701</t>
  </si>
  <si>
    <t>O702</t>
  </si>
  <si>
    <t>O703</t>
  </si>
  <si>
    <t>O704</t>
  </si>
  <si>
    <t>Velocità commerciale</t>
  </si>
  <si>
    <t>Mobilità</t>
  </si>
  <si>
    <t>Rete TPL</t>
  </si>
  <si>
    <t>Ore/giorno</t>
  </si>
  <si>
    <t>Coefficiente di passaggio punta/giorno</t>
  </si>
  <si>
    <t>Coefficiente di passaggio giorno/anno</t>
  </si>
  <si>
    <t>Giorni/anno</t>
  </si>
  <si>
    <t>Materiale rotabile (altro TPL)</t>
  </si>
  <si>
    <t>C834</t>
  </si>
  <si>
    <t>Costo unitario di costruzione</t>
  </si>
  <si>
    <t>Costo unitario del materiale rotabile</t>
  </si>
  <si>
    <t>Km</t>
  </si>
  <si>
    <t>CU1</t>
  </si>
  <si>
    <t>CU2</t>
  </si>
  <si>
    <t>CU3</t>
  </si>
  <si>
    <t>Numero di posti per veicolo</t>
  </si>
  <si>
    <t>Posti</t>
  </si>
  <si>
    <t>Lunghezza del progetto in corso di realizzazione</t>
  </si>
  <si>
    <t>Numero di veicoli in corso di acquisizione</t>
  </si>
  <si>
    <t>Indicatori di costo unitario</t>
  </si>
  <si>
    <t>OUT</t>
  </si>
  <si>
    <t>VU834</t>
  </si>
  <si>
    <t>Dimensionamento del parco</t>
  </si>
  <si>
    <t>Struttura dei costi d'esercizio</t>
  </si>
  <si>
    <t>Indicatori</t>
  </si>
  <si>
    <t>Modo di Trasporto</t>
  </si>
  <si>
    <t>Parco rotabilli</t>
  </si>
  <si>
    <t>Domanda, offerta e      qualità del servizio</t>
  </si>
  <si>
    <t>PIL001</t>
  </si>
  <si>
    <t>PIL002</t>
  </si>
  <si>
    <t>PIL003</t>
  </si>
  <si>
    <t>PIL004</t>
  </si>
  <si>
    <t>Estensione della rete infrastrutturale</t>
  </si>
  <si>
    <t>Estensione della rete di servizi</t>
  </si>
  <si>
    <t>Altro TPL a guida vincolata</t>
  </si>
  <si>
    <t>Modello di rotabili/Indicatori parco</t>
  </si>
  <si>
    <t>Costi totali</t>
  </si>
  <si>
    <t>Costi d'investimento del progetto</t>
  </si>
  <si>
    <t>Costi di rinnovo e revisione generale del progettto (incluso valore residuo finale)</t>
  </si>
  <si>
    <t>Carrozze / casse (#/veicolo)</t>
  </si>
  <si>
    <t>C934</t>
  </si>
  <si>
    <r>
      <t>Euro</t>
    </r>
    <r>
      <rPr>
        <vertAlign val="subscript"/>
        <sz val="11"/>
        <rFont val="Arial Narrow"/>
        <family val="2"/>
      </rPr>
      <t>2019</t>
    </r>
    <r>
      <rPr>
        <sz val="11"/>
        <color theme="1"/>
        <rFont val="Calibri"/>
        <family val="2"/>
        <scheme val="minor"/>
      </rPr>
      <t/>
    </r>
  </si>
  <si>
    <t>VR834</t>
  </si>
  <si>
    <t>Rete Stradale</t>
  </si>
  <si>
    <t>Produzione annua (al lordo delle percorrenze tecniche)</t>
  </si>
  <si>
    <t>Rv</t>
  </si>
  <si>
    <t>Dp</t>
  </si>
  <si>
    <t>Veicoli*km/anno</t>
  </si>
  <si>
    <t>Euro/veicolo*km</t>
  </si>
  <si>
    <t>Dc</t>
  </si>
  <si>
    <t>Rp - Cp</t>
  </si>
  <si>
    <t>Rp / Cp</t>
  </si>
  <si>
    <t>Rc - Cc</t>
  </si>
  <si>
    <t>Rc / Cc</t>
  </si>
  <si>
    <t>∆R - ∆C</t>
  </si>
  <si>
    <t>∆R / ∆C</t>
  </si>
  <si>
    <t>Domanda tendenziale cessante</t>
  </si>
  <si>
    <t>Rc =  Rv x Dc</t>
  </si>
  <si>
    <t>∆R = Rp - Rc</t>
  </si>
  <si>
    <t>∆C = Cp - Cc</t>
  </si>
  <si>
    <t>Variazione ricavi tariffari</t>
  </si>
  <si>
    <t>Costi d'esercizio di progetto</t>
  </si>
  <si>
    <t>Rp = Rv x Dp</t>
  </si>
  <si>
    <t>Variazione dei costi d'esercizio</t>
  </si>
  <si>
    <t>Costi d'esercizio cessanti</t>
  </si>
  <si>
    <t>Ricavi tariffari cessanti</t>
  </si>
  <si>
    <t>Margine di progetto</t>
  </si>
  <si>
    <t>Margine di rete</t>
  </si>
  <si>
    <t>Margine cessante</t>
  </si>
  <si>
    <t>Copertura costi d'esercizio di progetto</t>
  </si>
  <si>
    <t>Tabella 3.1 Mobilità e Rete TPL</t>
  </si>
  <si>
    <t>Tabella 3.2 Linee TPL</t>
  </si>
  <si>
    <t>Tabella 3.3 Parco TPL</t>
  </si>
  <si>
    <t>Tabella 3.4 Costi d'Investimento</t>
  </si>
  <si>
    <t>Tabella 3.5 Vita Utile</t>
  </si>
  <si>
    <t>Tabella 3.6 Valore Residuo e Rinnovi</t>
  </si>
  <si>
    <t>Tabella 3.7 Costi d'Esercizio</t>
  </si>
  <si>
    <t>Tabella 3.7 ACB</t>
  </si>
  <si>
    <t>Tabella Dati di Supporto</t>
  </si>
  <si>
    <t>Tabella 3.9 Copertura Costi d'Esercizio</t>
  </si>
  <si>
    <t>Copertura costi d'esercizio cessanti</t>
  </si>
  <si>
    <t>Copertura costi d'esercizio di rete</t>
  </si>
  <si>
    <t>Offerta annua (al netto delle percorrenze tecniche)</t>
  </si>
  <si>
    <t>Posti*km/anno</t>
  </si>
  <si>
    <t>km</t>
  </si>
  <si>
    <t>Costo kmco effettivo</t>
  </si>
  <si>
    <t>Costo kmco standard</t>
  </si>
  <si>
    <t>km/spostamento</t>
  </si>
  <si>
    <t>Costo kmco da utilizzare ai fini dell'ACB (al lordo di tasse e trasferimenti)</t>
  </si>
  <si>
    <t>Grammi/veicoli*km</t>
  </si>
  <si>
    <t>Pass/anno</t>
  </si>
  <si>
    <t>Pass*km/anno</t>
  </si>
  <si>
    <t>Pass/giorno</t>
  </si>
  <si>
    <t>Lunghezza rete in congestione nell’h di punta - f/c &gt; 0.9 – (km)</t>
  </si>
  <si>
    <t>km/h</t>
  </si>
  <si>
    <t>Intertempo minimo teorico nell'h di punta</t>
  </si>
  <si>
    <t>Intertempo effettivo nell'h di punta</t>
  </si>
  <si>
    <t>Posti/h/direzione</t>
  </si>
  <si>
    <t>Carico massimo nell'h di punta</t>
  </si>
  <si>
    <t>Domanda nell'h di punta</t>
  </si>
  <si>
    <t>Pass/h</t>
  </si>
  <si>
    <t>Spostamenti*h/giorno</t>
  </si>
  <si>
    <t>Mobilità nell'area di studio nell'h di punta</t>
  </si>
  <si>
    <t>Spostamenti/h (in O o D)</t>
  </si>
  <si>
    <t>Lunghezza media degli spostamenti nell'h di punta</t>
  </si>
  <si>
    <t>Tempo di spostamento totale sulla rete TPL nell'h di punta</t>
  </si>
  <si>
    <t>Spostamenti*h/h</t>
  </si>
  <si>
    <t>Tempo di spostamento totale sulla rete stradale nell'h di punta</t>
  </si>
  <si>
    <t xml:space="preserve">Tempo di giro nell'h di punta </t>
  </si>
  <si>
    <t>Pass/h/direzione</t>
  </si>
  <si>
    <t>Chilowatth/veicoli*km</t>
  </si>
  <si>
    <t>Grammi/chilowatth</t>
  </si>
  <si>
    <t>Euro/h</t>
  </si>
  <si>
    <t>Analisi Mobilità</t>
  </si>
  <si>
    <t>Previsione domanda</t>
  </si>
  <si>
    <r>
      <t xml:space="preserve">Specifica di rimando alle Note Metodoligiche </t>
    </r>
    <r>
      <rPr>
        <sz val="11"/>
        <color indexed="9"/>
        <rFont val="Arial Narrow"/>
        <family val="2"/>
      </rPr>
      <t>(Docuumento e pagina)</t>
    </r>
  </si>
  <si>
    <t>Mobilità nell’area di studio in un giorno lavorativo</t>
  </si>
  <si>
    <t>Lunghezza media degli spostamenti in un giorno lavorativo</t>
  </si>
  <si>
    <t>Tempo di spostamento totale sulla rete TPL in un giorno lavorativo</t>
  </si>
  <si>
    <t>Tempo di spostamento totale sulla rete stradale in un giorno lavorativo</t>
  </si>
  <si>
    <t xml:space="preserve">Sistemazioni urbanistiche </t>
  </si>
  <si>
    <t>Opere complementari</t>
  </si>
  <si>
    <t>C835</t>
  </si>
  <si>
    <t>VU835</t>
  </si>
  <si>
    <t>C935</t>
  </si>
  <si>
    <t>VR835</t>
  </si>
  <si>
    <t>Cp= Oi x Pi</t>
  </si>
  <si>
    <r>
      <t>Ricavi e Costi</t>
    </r>
    <r>
      <rPr>
        <sz val="11"/>
        <color indexed="10"/>
        <rFont val="Arial Narrow"/>
        <family val="2"/>
      </rPr>
      <t xml:space="preserve"> </t>
    </r>
    <r>
      <rPr>
        <sz val="11"/>
        <color indexed="8"/>
        <rFont val="Arial Narrow"/>
        <family val="2"/>
      </rPr>
      <t xml:space="preserve">di progetto </t>
    </r>
  </si>
  <si>
    <t>Ricavi e Costi cessanti</t>
  </si>
  <si>
    <t>Ricavi tariffari di progetto</t>
  </si>
  <si>
    <t>Tot.</t>
  </si>
  <si>
    <t>Cc = Oi x Pi</t>
  </si>
  <si>
    <r>
      <t xml:space="preserve">(∆R-∆C)&gt;0 e (Rc-Cc)&lt;0: Costi di esercizio nuovo intervento </t>
    </r>
    <r>
      <rPr>
        <sz val="11"/>
        <color indexed="10"/>
        <rFont val="Arial Narrow"/>
        <family val="2"/>
      </rPr>
      <t>interamente</t>
    </r>
    <r>
      <rPr>
        <sz val="11"/>
        <color indexed="8"/>
        <rFont val="Arial Narrow"/>
        <family val="2"/>
      </rPr>
      <t xml:space="preserve"> coperti da ricavi e riorganizzazione della rete</t>
    </r>
  </si>
  <si>
    <r>
      <t xml:space="preserve">(∆R-∆C)&lt;0 e (Rc-Cc)&lt;0: Costi di esercizio nuovo intervento </t>
    </r>
    <r>
      <rPr>
        <sz val="11"/>
        <color indexed="10"/>
        <rFont val="Arial Narrow"/>
        <family val="2"/>
      </rPr>
      <t>parzialmente</t>
    </r>
    <r>
      <rPr>
        <sz val="11"/>
        <color indexed="8"/>
        <rFont val="Arial Narrow"/>
        <family val="2"/>
      </rPr>
      <t xml:space="preserve"> coperti da ricavi e riorganizzazione della rete </t>
    </r>
  </si>
  <si>
    <t>Rete filoviaria ed elettrovie</t>
  </si>
  <si>
    <t>C836</t>
  </si>
  <si>
    <t>Allacciamenti ai pubblici servizi</t>
  </si>
  <si>
    <t>Risoluzione interferenze pubblici servizi</t>
  </si>
  <si>
    <t>Ponti</t>
  </si>
  <si>
    <t>VU836</t>
  </si>
  <si>
    <t>C936</t>
  </si>
  <si>
    <t>VR836</t>
  </si>
  <si>
    <t>Ricavo da tariffa medio (netto)</t>
  </si>
  <si>
    <t xml:space="preserve">Studio sulle Linee TPL impattate </t>
  </si>
  <si>
    <r>
      <t xml:space="preserve">Specifica di rimando alla Note Metodoligica </t>
    </r>
    <r>
      <rPr>
        <sz val="11"/>
        <color indexed="9"/>
        <rFont val="Arial Narrow"/>
        <family val="2"/>
      </rPr>
      <t>(Documento e pagina)</t>
    </r>
  </si>
  <si>
    <t>Variabile/parametro/costo/beneficio</t>
  </si>
  <si>
    <t>Costi kmci 
d'esercizio</t>
  </si>
  <si>
    <t>sottoprogramma 3</t>
  </si>
  <si>
    <t>(*)</t>
  </si>
  <si>
    <r>
      <t xml:space="preserve">B9 </t>
    </r>
    <r>
      <rPr>
        <sz val="11"/>
        <color indexed="60"/>
        <rFont val="Arial Narrow"/>
        <family val="2"/>
      </rPr>
      <t>(*)</t>
    </r>
  </si>
  <si>
    <r>
      <t>BTOT</t>
    </r>
    <r>
      <rPr>
        <sz val="11"/>
        <color indexed="8"/>
        <rFont val="Arial Narrow"/>
        <family val="2"/>
      </rPr>
      <t xml:space="preserve"> </t>
    </r>
    <r>
      <rPr>
        <sz val="11"/>
        <color indexed="60"/>
        <rFont val="Arial Narrow"/>
        <family val="2"/>
      </rPr>
      <t>(*)</t>
    </r>
  </si>
  <si>
    <r>
      <t>C806</t>
    </r>
    <r>
      <rPr>
        <sz val="11"/>
        <color indexed="60"/>
        <rFont val="Arial Narrow"/>
        <family val="2"/>
      </rPr>
      <t xml:space="preserve"> (*)</t>
    </r>
  </si>
  <si>
    <r>
      <t>C807</t>
    </r>
    <r>
      <rPr>
        <sz val="11"/>
        <color indexed="60"/>
        <rFont val="Arial Narrow"/>
        <family val="2"/>
      </rPr>
      <t xml:space="preserve"> </t>
    </r>
  </si>
  <si>
    <t>La dicitura è stata modificata in conformità all'appendice (Rev. 2020/05/21)</t>
  </si>
  <si>
    <t>Le formule di calcolo nelle colonne J-P sono state modificate per la rilevazione di errori (Rev. 2020/05/21)</t>
  </si>
  <si>
    <t>Rp/Cp≥ 0,35</t>
  </si>
  <si>
    <r>
      <t>(∆R-∆C)&lt;0 e (Rc-Cc)&gt;0: Costi di esercizio nuovo intervento</t>
    </r>
    <r>
      <rPr>
        <sz val="11"/>
        <color indexed="10"/>
        <rFont val="Arial Narrow"/>
        <family val="2"/>
      </rPr>
      <t xml:space="preserve"> parzialmente </t>
    </r>
    <r>
      <rPr>
        <sz val="11"/>
        <color indexed="8"/>
        <rFont val="Arial Narrow"/>
        <family val="2"/>
      </rPr>
      <t xml:space="preserve">coperti </t>
    </r>
    <r>
      <rPr>
        <sz val="11"/>
        <rFont val="Arial Narrow"/>
        <family val="2"/>
      </rPr>
      <t xml:space="preserve">dai ricavi e </t>
    </r>
    <r>
      <rPr>
        <sz val="11"/>
        <color indexed="10"/>
        <rFont val="Arial Narrow"/>
        <family val="2"/>
      </rPr>
      <t>non</t>
    </r>
    <r>
      <rPr>
        <sz val="11"/>
        <rFont val="Arial Narrow"/>
        <family val="2"/>
      </rPr>
      <t xml:space="preserve"> da riorganizzazione della</t>
    </r>
    <r>
      <rPr>
        <sz val="11"/>
        <color indexed="10"/>
        <rFont val="Arial Narrow"/>
        <family val="2"/>
      </rPr>
      <t xml:space="preserve"> </t>
    </r>
    <r>
      <rPr>
        <sz val="11"/>
        <color indexed="8"/>
        <rFont val="Arial Narrow"/>
        <family val="2"/>
      </rPr>
      <t>rete</t>
    </r>
  </si>
  <si>
    <r>
      <t>Pass/anno</t>
    </r>
    <r>
      <rPr>
        <sz val="11"/>
        <color indexed="16"/>
        <rFont val="Arial Narrow"/>
        <family val="2"/>
      </rPr>
      <t xml:space="preserve"> (*)</t>
    </r>
  </si>
  <si>
    <r>
      <t>Pass/anno</t>
    </r>
    <r>
      <rPr>
        <sz val="11"/>
        <color indexed="16"/>
        <rFont val="Arial Narrow"/>
        <family val="2"/>
      </rPr>
      <t xml:space="preserve">  (*)</t>
    </r>
  </si>
  <si>
    <r>
      <t>Copertura dei costi</t>
    </r>
    <r>
      <rPr>
        <sz val="11"/>
        <color indexed="10"/>
        <rFont val="Arial Narrow"/>
        <family val="2"/>
      </rPr>
      <t xml:space="preserve"> </t>
    </r>
    <r>
      <rPr>
        <sz val="11"/>
        <color indexed="60"/>
        <rFont val="Arial Narrow"/>
        <family val="2"/>
      </rPr>
      <t>(**)</t>
    </r>
  </si>
  <si>
    <t>(**)</t>
  </si>
  <si>
    <t>E' stata modificata l'Unità di misura, errata nella Rev precedente</t>
  </si>
  <si>
    <t>Le formule di calcolo nelle celle J48:P51 sono state modificate per la rilevazione di errori (Rev. 2020/07/01)</t>
  </si>
  <si>
    <t>Materiale rotabile (tram/metro)  (*)</t>
  </si>
  <si>
    <t>Mobilità nell'area di studio</t>
  </si>
  <si>
    <t>E' stato aggiunto il secondo "Tema" (righe 47-81), prima assente (Rev.2020 07 29)</t>
  </si>
  <si>
    <t>Mobilità nell'area di influenza (*)</t>
  </si>
  <si>
    <t>(***)</t>
  </si>
  <si>
    <t>Le celle J49:P51 sono state modificate per la rilevazione di errore nella stringa di risultato (Rev. 2020/07/29)</t>
  </si>
  <si>
    <t>Modificate alcune formule tra I41 ed I69 per riferimenti non corretti  (Rev.2020/07/29)</t>
  </si>
  <si>
    <t>Modificate le formule tra J38 e P38 per riferimenti non corretti   (Rev.2020/07/29)</t>
  </si>
  <si>
    <t>Modificate le formule tra J70 e P70 per riferimenti non corretti   (Rev.2020/07/29)</t>
  </si>
  <si>
    <r>
      <t>Anno Y</t>
    </r>
    <r>
      <rPr>
        <b/>
        <vertAlign val="subscript"/>
        <sz val="11"/>
        <color indexed="9"/>
        <rFont val="Arial Narrow"/>
        <family val="2"/>
      </rPr>
      <t>0</t>
    </r>
    <r>
      <rPr>
        <b/>
        <sz val="11"/>
        <color indexed="9"/>
        <rFont val="Arial Narrow"/>
        <family val="2"/>
      </rPr>
      <t xml:space="preserve"> = 2019</t>
    </r>
  </si>
  <si>
    <r>
      <t>Anno Y</t>
    </r>
    <r>
      <rPr>
        <b/>
        <vertAlign val="subscript"/>
        <sz val="11"/>
        <color indexed="9"/>
        <rFont val="Arial Narrow"/>
        <family val="2"/>
      </rPr>
      <t>1</t>
    </r>
    <r>
      <rPr>
        <b/>
        <sz val="11"/>
        <color indexed="9"/>
        <rFont val="Arial Narrow"/>
        <family val="2"/>
      </rPr>
      <t xml:space="preserve"> = 2020</t>
    </r>
  </si>
  <si>
    <r>
      <t>Euro</t>
    </r>
    <r>
      <rPr>
        <vertAlign val="subscript"/>
        <sz val="11"/>
        <rFont val="Arial Narrow"/>
        <family val="2"/>
      </rPr>
      <t>2019</t>
    </r>
  </si>
  <si>
    <r>
      <t>Euro</t>
    </r>
    <r>
      <rPr>
        <b/>
        <vertAlign val="subscript"/>
        <sz val="11"/>
        <rFont val="Arial Narrow"/>
        <family val="2"/>
      </rPr>
      <t>2019</t>
    </r>
  </si>
  <si>
    <r>
      <t>Euro</t>
    </r>
    <r>
      <rPr>
        <b/>
        <vertAlign val="subscript"/>
        <sz val="11"/>
        <rFont val="Arial Narrow"/>
        <family val="2"/>
      </rPr>
      <t>2019</t>
    </r>
    <r>
      <rPr>
        <sz val="11"/>
        <color theme="1"/>
        <rFont val="Calibri"/>
        <family val="2"/>
        <scheme val="minor"/>
      </rPr>
      <t/>
    </r>
  </si>
  <si>
    <r>
      <t>Euro</t>
    </r>
    <r>
      <rPr>
        <vertAlign val="subscript"/>
        <sz val="11"/>
        <rFont val="Arial Narrow"/>
        <family val="2"/>
      </rPr>
      <t>2019</t>
    </r>
    <r>
      <rPr>
        <sz val="11"/>
        <rFont val="Arial Narrow"/>
        <family val="2"/>
      </rPr>
      <t>/veicolo*km</t>
    </r>
  </si>
  <si>
    <r>
      <t>Euro</t>
    </r>
    <r>
      <rPr>
        <vertAlign val="subscript"/>
        <sz val="11"/>
        <rFont val="Arial Narrow"/>
        <family val="2"/>
      </rPr>
      <t>2019</t>
    </r>
    <r>
      <rPr>
        <sz val="11"/>
        <rFont val="Arial Narrow"/>
        <family val="2"/>
      </rPr>
      <t>/tonnellata</t>
    </r>
  </si>
  <si>
    <r>
      <t>Euro</t>
    </r>
    <r>
      <rPr>
        <vertAlign val="subscript"/>
        <sz val="11"/>
        <rFont val="Arial Narrow"/>
        <family val="2"/>
      </rPr>
      <t>2019</t>
    </r>
    <r>
      <rPr>
        <sz val="11"/>
        <rFont val="Arial Narrow"/>
        <family val="2"/>
      </rPr>
      <t>/h</t>
    </r>
  </si>
  <si>
    <r>
      <t>Euro</t>
    </r>
    <r>
      <rPr>
        <b/>
        <vertAlign val="subscript"/>
        <sz val="11"/>
        <color indexed="8"/>
        <rFont val="Arial Narrow"/>
        <family val="2"/>
      </rPr>
      <t>2019</t>
    </r>
    <r>
      <rPr>
        <b/>
        <sz val="11"/>
        <color indexed="8"/>
        <rFont val="Arial Narrow"/>
        <family val="2"/>
      </rPr>
      <t>/pass</t>
    </r>
  </si>
  <si>
    <r>
      <t>Euro</t>
    </r>
    <r>
      <rPr>
        <b/>
        <vertAlign val="subscript"/>
        <sz val="11"/>
        <color indexed="8"/>
        <rFont val="Arial Narrow"/>
        <family val="2"/>
      </rPr>
      <t>2019</t>
    </r>
  </si>
  <si>
    <r>
      <t>Caratteristiche di ciascun modello al 31/12/2019 (Anno Y</t>
    </r>
    <r>
      <rPr>
        <b/>
        <vertAlign val="subscript"/>
        <sz val="11"/>
        <color indexed="9"/>
        <rFont val="Arial Narrow"/>
        <family val="2"/>
      </rPr>
      <t>0</t>
    </r>
    <r>
      <rPr>
        <b/>
        <sz val="11"/>
        <color indexed="9"/>
        <rFont val="Arial Narrow"/>
        <family val="2"/>
      </rPr>
      <t xml:space="preserve"> = 2019)</t>
    </r>
  </si>
  <si>
    <r>
      <t>Euro</t>
    </r>
    <r>
      <rPr>
        <b/>
        <vertAlign val="subscript"/>
        <sz val="11"/>
        <rFont val="Arial Narrow"/>
        <family val="2"/>
      </rPr>
      <t>2019</t>
    </r>
    <r>
      <rPr>
        <b/>
        <sz val="11"/>
        <rFont val="Arial Narrow"/>
        <family val="2"/>
      </rPr>
      <t>/veicolo*km</t>
    </r>
  </si>
  <si>
    <t>Il tempo di giro è inteso come somma per andata + ritorno considerando i rallentamenti alle stazioni</t>
  </si>
  <si>
    <t>Intervallo tra i veicoli = 20s ovvero 20/60 = 0,33 minuti</t>
  </si>
  <si>
    <t>La portata effettiva è stata calcolata come l'85% della portata teorica (mediamente salgono 8,5 persone per veicolo anziché 10)</t>
  </si>
  <si>
    <t>NOTE ESPLICATIVE</t>
  </si>
  <si>
    <t>Linea di progetto LOTTO 1</t>
  </si>
  <si>
    <t>CABINOVIA</t>
  </si>
  <si>
    <t>La lunghezza della linea si riferisce a metà della lunghezza dell'anello di fune</t>
  </si>
  <si>
    <t>Anno YESER</t>
  </si>
  <si>
    <r>
      <t>Anno Y</t>
    </r>
    <r>
      <rPr>
        <b/>
        <vertAlign val="subscript"/>
        <sz val="11"/>
        <color indexed="9"/>
        <rFont val="Arial Narrow"/>
        <family val="2"/>
      </rPr>
      <t>2</t>
    </r>
    <r>
      <rPr>
        <b/>
        <sz val="11"/>
        <color indexed="9"/>
        <rFont val="Arial Narrow"/>
        <family val="2"/>
      </rPr>
      <t xml:space="preserve"> = 2021</t>
    </r>
  </si>
  <si>
    <t>Anno Y3 = 2022</t>
  </si>
  <si>
    <r>
      <t>Anno Y</t>
    </r>
    <r>
      <rPr>
        <b/>
        <vertAlign val="subscript"/>
        <sz val="11"/>
        <color indexed="9"/>
        <rFont val="Arial Narrow"/>
        <family val="2"/>
      </rPr>
      <t>ESER-5=2023</t>
    </r>
  </si>
  <si>
    <r>
      <t>Anno Y</t>
    </r>
    <r>
      <rPr>
        <b/>
        <vertAlign val="subscript"/>
        <sz val="11"/>
        <color indexed="9"/>
        <rFont val="Arial Narrow"/>
        <family val="2"/>
      </rPr>
      <t>ESER-4=2024</t>
    </r>
  </si>
  <si>
    <r>
      <t>Anno Y</t>
    </r>
    <r>
      <rPr>
        <b/>
        <vertAlign val="subscript"/>
        <sz val="11"/>
        <color indexed="9"/>
        <rFont val="Arial Narrow"/>
        <family val="2"/>
      </rPr>
      <t>ESER-4=2025</t>
    </r>
  </si>
  <si>
    <r>
      <t>Anno Y</t>
    </r>
    <r>
      <rPr>
        <b/>
        <vertAlign val="subscript"/>
        <sz val="11"/>
        <color indexed="9"/>
        <rFont val="Arial Narrow"/>
        <family val="2"/>
      </rPr>
      <t>ESER-3=2026</t>
    </r>
  </si>
  <si>
    <r>
      <t>Anno Y</t>
    </r>
    <r>
      <rPr>
        <b/>
        <vertAlign val="subscript"/>
        <sz val="11"/>
        <color indexed="9"/>
        <rFont val="Arial Narrow"/>
        <family val="2"/>
      </rPr>
      <t>ESER-2=2027</t>
    </r>
  </si>
  <si>
    <r>
      <t>Anno Y</t>
    </r>
    <r>
      <rPr>
        <b/>
        <vertAlign val="subscript"/>
        <sz val="11"/>
        <color indexed="9"/>
        <rFont val="Arial Narrow"/>
        <family val="2"/>
      </rPr>
      <t>ESER-1=2028</t>
    </r>
  </si>
  <si>
    <r>
      <t>Anno Y</t>
    </r>
    <r>
      <rPr>
        <b/>
        <vertAlign val="subscript"/>
        <sz val="11"/>
        <color indexed="9"/>
        <rFont val="Arial Narrow"/>
        <family val="2"/>
      </rPr>
      <t>ESER=2029</t>
    </r>
  </si>
  <si>
    <r>
      <t>Anno Y</t>
    </r>
    <r>
      <rPr>
        <b/>
        <vertAlign val="subscript"/>
        <sz val="11"/>
        <color indexed="9"/>
        <rFont val="Arial Narrow"/>
        <family val="2"/>
      </rPr>
      <t>ESER+1</t>
    </r>
  </si>
  <si>
    <r>
      <t>Anno Y</t>
    </r>
    <r>
      <rPr>
        <b/>
        <vertAlign val="subscript"/>
        <sz val="11"/>
        <color indexed="9"/>
        <rFont val="Arial Narrow"/>
        <family val="2"/>
      </rPr>
      <t>ESER+2</t>
    </r>
  </si>
  <si>
    <r>
      <t>Anno Y</t>
    </r>
    <r>
      <rPr>
        <b/>
        <vertAlign val="subscript"/>
        <sz val="11"/>
        <color indexed="9"/>
        <rFont val="Arial Narrow"/>
        <family val="2"/>
      </rPr>
      <t>ESER+3</t>
    </r>
    <r>
      <rPr>
        <sz val="11"/>
        <color theme="1"/>
        <rFont val="Calibri"/>
        <family val="2"/>
        <scheme val="minor"/>
      </rPr>
      <t/>
    </r>
  </si>
  <si>
    <r>
      <t>Anno Y</t>
    </r>
    <r>
      <rPr>
        <b/>
        <vertAlign val="subscript"/>
        <sz val="11"/>
        <color indexed="9"/>
        <rFont val="Arial Narrow"/>
        <family val="2"/>
      </rPr>
      <t>ESER+4</t>
    </r>
    <r>
      <rPr>
        <sz val="11"/>
        <color theme="1"/>
        <rFont val="Calibri"/>
        <family val="2"/>
        <scheme val="minor"/>
      </rPr>
      <t/>
    </r>
  </si>
  <si>
    <r>
      <t>Anno Y</t>
    </r>
    <r>
      <rPr>
        <b/>
        <vertAlign val="subscript"/>
        <sz val="11"/>
        <color indexed="9"/>
        <rFont val="Arial Narrow"/>
        <family val="2"/>
      </rPr>
      <t>ESER+5</t>
    </r>
    <r>
      <rPr>
        <sz val="11"/>
        <color theme="1"/>
        <rFont val="Calibri"/>
        <family val="2"/>
        <scheme val="minor"/>
      </rPr>
      <t/>
    </r>
  </si>
  <si>
    <r>
      <t>Anno Y</t>
    </r>
    <r>
      <rPr>
        <b/>
        <vertAlign val="subscript"/>
        <sz val="11"/>
        <color indexed="9"/>
        <rFont val="Arial Narrow"/>
        <family val="2"/>
      </rPr>
      <t>ESER+6</t>
    </r>
    <r>
      <rPr>
        <sz val="11"/>
        <color theme="1"/>
        <rFont val="Calibri"/>
        <family val="2"/>
        <scheme val="minor"/>
      </rPr>
      <t/>
    </r>
  </si>
  <si>
    <r>
      <t>Anno Y</t>
    </r>
    <r>
      <rPr>
        <b/>
        <vertAlign val="subscript"/>
        <sz val="11"/>
        <color indexed="9"/>
        <rFont val="Arial Narrow"/>
        <family val="2"/>
      </rPr>
      <t>ESER+7</t>
    </r>
    <r>
      <rPr>
        <sz val="11"/>
        <color theme="1"/>
        <rFont val="Calibri"/>
        <family val="2"/>
        <scheme val="minor"/>
      </rPr>
      <t/>
    </r>
  </si>
  <si>
    <r>
      <t>Anno Y</t>
    </r>
    <r>
      <rPr>
        <b/>
        <vertAlign val="subscript"/>
        <sz val="11"/>
        <color indexed="9"/>
        <rFont val="Arial Narrow"/>
        <family val="2"/>
      </rPr>
      <t>ESER+8</t>
    </r>
    <r>
      <rPr>
        <sz val="11"/>
        <color theme="1"/>
        <rFont val="Calibri"/>
        <family val="2"/>
        <scheme val="minor"/>
      </rPr>
      <t/>
    </r>
  </si>
  <si>
    <r>
      <t>Anno Y</t>
    </r>
    <r>
      <rPr>
        <b/>
        <vertAlign val="subscript"/>
        <sz val="11"/>
        <color indexed="9"/>
        <rFont val="Arial Narrow"/>
        <family val="2"/>
      </rPr>
      <t>ESER+9</t>
    </r>
    <r>
      <rPr>
        <sz val="11"/>
        <color theme="1"/>
        <rFont val="Calibri"/>
        <family val="2"/>
        <scheme val="minor"/>
      </rPr>
      <t/>
    </r>
  </si>
  <si>
    <r>
      <t>Anno Y</t>
    </r>
    <r>
      <rPr>
        <b/>
        <vertAlign val="subscript"/>
        <sz val="11"/>
        <color indexed="9"/>
        <rFont val="Arial Narrow"/>
        <family val="2"/>
      </rPr>
      <t>ESER+10</t>
    </r>
    <r>
      <rPr>
        <sz val="11"/>
        <color theme="1"/>
        <rFont val="Calibri"/>
        <family val="2"/>
        <scheme val="minor"/>
      </rPr>
      <t/>
    </r>
  </si>
  <si>
    <r>
      <t>Anno Y</t>
    </r>
    <r>
      <rPr>
        <b/>
        <vertAlign val="subscript"/>
        <sz val="11"/>
        <color indexed="9"/>
        <rFont val="Arial Narrow"/>
        <family val="2"/>
      </rPr>
      <t>ESER+11</t>
    </r>
    <r>
      <rPr>
        <sz val="11"/>
        <color theme="1"/>
        <rFont val="Calibri"/>
        <family val="2"/>
        <scheme val="minor"/>
      </rPr>
      <t/>
    </r>
  </si>
  <si>
    <r>
      <t>Anno Y</t>
    </r>
    <r>
      <rPr>
        <b/>
        <vertAlign val="subscript"/>
        <sz val="11"/>
        <color indexed="9"/>
        <rFont val="Arial Narrow"/>
        <family val="2"/>
      </rPr>
      <t>ESER+12</t>
    </r>
    <r>
      <rPr>
        <sz val="11"/>
        <color theme="1"/>
        <rFont val="Calibri"/>
        <family val="2"/>
        <scheme val="minor"/>
      </rPr>
      <t/>
    </r>
  </si>
  <si>
    <r>
      <t>Anno Y</t>
    </r>
    <r>
      <rPr>
        <b/>
        <vertAlign val="subscript"/>
        <sz val="11"/>
        <color indexed="9"/>
        <rFont val="Arial Narrow"/>
        <family val="2"/>
      </rPr>
      <t>ESER+13</t>
    </r>
    <r>
      <rPr>
        <sz val="11"/>
        <color theme="1"/>
        <rFont val="Calibri"/>
        <family val="2"/>
        <scheme val="minor"/>
      </rPr>
      <t/>
    </r>
  </si>
  <si>
    <r>
      <t>Anno Y</t>
    </r>
    <r>
      <rPr>
        <b/>
        <vertAlign val="subscript"/>
        <sz val="11"/>
        <color indexed="9"/>
        <rFont val="Arial Narrow"/>
        <family val="2"/>
      </rPr>
      <t>ESER+14</t>
    </r>
    <r>
      <rPr>
        <sz val="11"/>
        <color theme="1"/>
        <rFont val="Calibri"/>
        <family val="2"/>
        <scheme val="minor"/>
      </rPr>
      <t/>
    </r>
  </si>
  <si>
    <r>
      <t>Anno Y</t>
    </r>
    <r>
      <rPr>
        <b/>
        <vertAlign val="subscript"/>
        <sz val="11"/>
        <color indexed="9"/>
        <rFont val="Arial Narrow"/>
        <family val="2"/>
      </rPr>
      <t>ESER+15</t>
    </r>
    <r>
      <rPr>
        <sz val="11"/>
        <color theme="1"/>
        <rFont val="Calibri"/>
        <family val="2"/>
        <scheme val="minor"/>
      </rPr>
      <t/>
    </r>
  </si>
  <si>
    <r>
      <t>Anno Y</t>
    </r>
    <r>
      <rPr>
        <b/>
        <vertAlign val="subscript"/>
        <sz val="11"/>
        <color indexed="9"/>
        <rFont val="Arial Narrow"/>
        <family val="2"/>
      </rPr>
      <t>ESER+16</t>
    </r>
    <r>
      <rPr>
        <sz val="11"/>
        <color theme="1"/>
        <rFont val="Calibri"/>
        <family val="2"/>
        <scheme val="minor"/>
      </rPr>
      <t/>
    </r>
  </si>
  <si>
    <r>
      <t>Anno Y</t>
    </r>
    <r>
      <rPr>
        <b/>
        <vertAlign val="subscript"/>
        <sz val="11"/>
        <color indexed="9"/>
        <rFont val="Arial Narrow"/>
        <family val="2"/>
      </rPr>
      <t>ESER+17</t>
    </r>
    <r>
      <rPr>
        <sz val="11"/>
        <color theme="1"/>
        <rFont val="Calibri"/>
        <family val="2"/>
        <scheme val="minor"/>
      </rPr>
      <t/>
    </r>
  </si>
  <si>
    <r>
      <t>Anno Y</t>
    </r>
    <r>
      <rPr>
        <b/>
        <vertAlign val="subscript"/>
        <sz val="11"/>
        <color indexed="9"/>
        <rFont val="Arial Narrow"/>
        <family val="2"/>
      </rPr>
      <t>ESER+18</t>
    </r>
    <r>
      <rPr>
        <sz val="11"/>
        <color theme="1"/>
        <rFont val="Calibri"/>
        <family val="2"/>
        <scheme val="minor"/>
      </rPr>
      <t/>
    </r>
  </si>
  <si>
    <r>
      <t>Anno Y</t>
    </r>
    <r>
      <rPr>
        <b/>
        <vertAlign val="subscript"/>
        <sz val="11"/>
        <color indexed="9"/>
        <rFont val="Arial Narrow"/>
        <family val="2"/>
      </rPr>
      <t>ESER+19</t>
    </r>
    <r>
      <rPr>
        <sz val="11"/>
        <color theme="1"/>
        <rFont val="Calibri"/>
        <family val="2"/>
        <scheme val="minor"/>
      </rPr>
      <t/>
    </r>
  </si>
  <si>
    <t>VITA UTILE COME DA FOGLIO 3.5</t>
  </si>
  <si>
    <t>VITA TECNICA SECONDO DM203/2015</t>
  </si>
  <si>
    <t>Nota sul calcolo dei costi dell'area esercizio</t>
  </si>
  <si>
    <t>Nota: modalità di ripartizione dei costi di esercizio per (veicolo*km) nel caso della cabinovia</t>
  </si>
  <si>
    <t>V = numero veicoli cabinovia</t>
  </si>
  <si>
    <t>L = lunghezza totale anello di cabinovia [km]</t>
  </si>
  <si>
    <t>C_ora = cicli / ora del singolo veicolo</t>
  </si>
  <si>
    <t>H = ore funzionamento / giorno</t>
  </si>
  <si>
    <t>Cgiorno = cicli / giorno</t>
  </si>
  <si>
    <t>G = giorni di servizio / anno</t>
  </si>
  <si>
    <t>veicolo *km = V x L x Cgiorno x G =</t>
  </si>
  <si>
    <t>Da verificare</t>
  </si>
  <si>
    <t>na</t>
  </si>
  <si>
    <t>opere edili di linea: fondazione di 15 sostegni cad. 35 mc *700euro/mc</t>
  </si>
  <si>
    <t>NA</t>
  </si>
  <si>
    <t>opere edili stazioni: 1.200.000 euro opere di forza tre stazioni + 1.300.000 di opere civili complete stazione sardagna + quota parte opere civili stazione ex sit e ex italcementi</t>
  </si>
  <si>
    <t>2 ascensori verticali per ogni stazione al costo di 50000 euro</t>
  </si>
  <si>
    <t>impianto elettrico e speciali di stazione (illuminazione,  segnalazione passeggeri, imbarchi, ecc)</t>
  </si>
  <si>
    <t>700000 euro</t>
  </si>
  <si>
    <t>250000 euro</t>
  </si>
  <si>
    <t>N.38 cabine</t>
  </si>
  <si>
    <t>Si ipotizza 1,5% del costo base dell'opera</t>
  </si>
  <si>
    <t>Nota: voce modificata per calcolo effettuato secondo costo convenzionale</t>
  </si>
  <si>
    <t>Nota: la lunghezza si riferisce ai due rami di cabinovia poiché lungo ciascun ramo si effettua trasporto pubblico di persone</t>
  </si>
  <si>
    <t xml:space="preserve">Predisposizione per secondo lotto 1.200.000 euro, 1.800.000 (5% dell'importo complessivo) per opere civili pertinenziali ex-sit, ex-italcementi, sistemazioni architettoniche stazioni </t>
  </si>
  <si>
    <t>Si ipotizza 3% costo importo base+ oneri sicurezza (la suddivisione si riferisce a preliminare definitivo esecutivo)</t>
  </si>
  <si>
    <t>Si ipotizza 3% costo importo base+ oneri sicurezza  suddiviso in 2 anni di cantiere</t>
  </si>
  <si>
    <t>Si ipotizza una percentuale di circa 0,2% del costo base dell'operasuddivisa 70% al primo anno e 30% al secondo anno</t>
  </si>
  <si>
    <t>Circa 0,3% dell'importo base</t>
  </si>
  <si>
    <t>Circa 1,3% dell costo base dell'opera</t>
  </si>
  <si>
    <t>opere meccaniche funiviario con opzione 2 anelli di fune (sovrapprezzo 2,2 Milioni di euro)</t>
  </si>
  <si>
    <t>Numero veicoli totali</t>
  </si>
  <si>
    <t>[n]</t>
  </si>
  <si>
    <t>[kW]</t>
  </si>
  <si>
    <t>Potenza "Trento - Sardagna"</t>
  </si>
  <si>
    <t>km linea</t>
  </si>
  <si>
    <t>[km]</t>
  </si>
  <si>
    <t>km percorsi in un ora dal singolo veicolo</t>
  </si>
  <si>
    <t>Coefficiente passaggio da consumo di punta a consumo medio</t>
  </si>
  <si>
    <t>[kWh]</t>
  </si>
  <si>
    <t>Consumo in kW*h medio valtuato sul consumo orario medio giornaliero (stimato pari a 0,7  volte la potenza massima)</t>
  </si>
  <si>
    <t>[v]</t>
  </si>
  <si>
    <t>km percorsi da un singolo veicolo nel tempo di 1 ora (ogni veicolo in 1 ora percorre 2 tragitti completi)</t>
  </si>
  <si>
    <t>[kWh/vkm]</t>
  </si>
  <si>
    <t>Consumo medio in kW*h  /  veicoli*km</t>
  </si>
  <si>
    <t>Innalzamento linea Terna prima dell'abitato di Sardagna (800.000 euro) e protezione sopra starda statale (700.000 euro), demolizione funivia esistente 600.000 euro (quest'ultima nel primo anno di esercizio), adeguamento viabilità sardagna 600.000 euro</t>
  </si>
  <si>
    <t>previsione di magazzino centralizzato a sardagna a servizio di entrambi i lotti</t>
  </si>
  <si>
    <t>percorsi di accesso alle stazioni</t>
  </si>
  <si>
    <t>azionamento</t>
  </si>
  <si>
    <t>componenti meccaniche magazzino</t>
  </si>
  <si>
    <t>opere meccaniche funiviarie</t>
  </si>
  <si>
    <t>la vita utile da DM 203/2015 sarebbe pari a 40 anni si considerano tuttavia nei calcoli 20 anni in quanto corrispondono alla prima revisione generale che comporta importantti lavori di risanamento come da appendice addendum 3.2.2</t>
  </si>
  <si>
    <t>veicoli di linea</t>
  </si>
  <si>
    <t>inserita la vita tecnica reale del componente</t>
  </si>
  <si>
    <t>2.500.000 parcheggi ex italcementi [come da appendice addendudum 3.2.1 pag32 punto11]</t>
  </si>
  <si>
    <t>trattasi di costi di sole revisioni generali (non speciali e non manutenzioni ordinarie e straordinarie) suddivisi su 7 anni circa ovvero alla scadenza delle 35000 ore</t>
  </si>
  <si>
    <t>(****)</t>
  </si>
  <si>
    <t>Lavori in amministrazione diretta previsit n progetto ed esclusi dall'appalto (vedi appendice 3.2.1) QE: vedi celle gialle</t>
  </si>
  <si>
    <t>Anno 2029</t>
  </si>
  <si>
    <t>DELTA TRA SCENARIO 2019 E DI PROGETTO (2029)</t>
  </si>
  <si>
    <t>Linea ESISTENTI: Funivia Trento - Sardagna</t>
  </si>
  <si>
    <t>revisione generale da decreto è al 20° anno tuttavia la certificazione CE del costruttore obbliga a revioni generali di taluni componenti/sottosistemi al raggiungimento delle x ore, valore in passato stimato a 22.500 che ora sta progressivamente crescendo, si ipotazzano quindi 35.000 ore</t>
  </si>
  <si>
    <t>Si conidera un incremento del 3% della quota turistica della domanda a partire dal quinto anno di esercizio</t>
  </si>
  <si>
    <t>Anno YESER+1</t>
  </si>
  <si>
    <t>Anno YESER+2</t>
  </si>
  <si>
    <t>Anno YESER+3</t>
  </si>
  <si>
    <t>Anno YESER+4</t>
  </si>
  <si>
    <t>Anno YESER+5</t>
  </si>
  <si>
    <t>Anno YESER+6</t>
  </si>
  <si>
    <t>Anno YESER+7</t>
  </si>
  <si>
    <t>Anno YESER+8</t>
  </si>
  <si>
    <t>Anno YESER+9</t>
  </si>
  <si>
    <t>Anno YESER+10</t>
  </si>
  <si>
    <t>Anno YESER+11</t>
  </si>
  <si>
    <t>Anno YESER+12</t>
  </si>
  <si>
    <t>Anno YESER+13</t>
  </si>
  <si>
    <t>Anno YESER+14</t>
  </si>
  <si>
    <t>Anno YESER+15</t>
  </si>
  <si>
    <t>Anno YESER+16</t>
  </si>
  <si>
    <t>Anno YESER+17</t>
  </si>
  <si>
    <t>Anno YESER+18</t>
  </si>
  <si>
    <t>Anno YESER+19</t>
  </si>
  <si>
    <t>Al costo di esercizio del nuovo collegamento è detratto il costo attuale di esercizio della attuale funivia che andrà dismessa</t>
  </si>
  <si>
    <r>
      <t>Anno Y</t>
    </r>
    <r>
      <rPr>
        <b/>
        <vertAlign val="subscript"/>
        <sz val="11"/>
        <color indexed="9"/>
        <rFont val="Arial Narrow"/>
        <family val="2"/>
      </rPr>
      <t>ESER+7</t>
    </r>
  </si>
  <si>
    <r>
      <t>Anno Y</t>
    </r>
    <r>
      <rPr>
        <b/>
        <vertAlign val="subscript"/>
        <sz val="11"/>
        <color indexed="9"/>
        <rFont val="Arial Narrow"/>
        <family val="2"/>
      </rPr>
      <t>ESER+14</t>
    </r>
  </si>
  <si>
    <r>
      <t>Anno Y</t>
    </r>
    <r>
      <rPr>
        <b/>
        <vertAlign val="subscript"/>
        <sz val="11"/>
        <color indexed="9"/>
        <rFont val="Arial Narrow"/>
        <family val="2"/>
      </rPr>
      <t>ESER+19</t>
    </r>
  </si>
  <si>
    <t>23'42''</t>
  </si>
  <si>
    <t>0,33'</t>
  </si>
  <si>
    <t>Potenza "Sardagna - Vaneze"</t>
  </si>
  <si>
    <t>Potenza "Vaneze - Vason"</t>
  </si>
  <si>
    <t>Potenza totale linee di cabinovia</t>
  </si>
  <si>
    <t>COSTO REVISIONE GENERALE 5.000.000 (****)</t>
  </si>
  <si>
    <t>1 lotto</t>
  </si>
  <si>
    <t>2 lotto</t>
  </si>
  <si>
    <t>Costi totale personale di guida: LOTTO 1 (13addetti*16 h/gg * 11 mesi) 695.000 euro + LOTTO 2(5addetti fissi + 5stagionlai) 410.000</t>
  </si>
  <si>
    <t>primo lotto:  40.000 per pulizie e sorveglianza - secondo lotto 20.000 per pulizie e sorveglianza</t>
  </si>
  <si>
    <t>Costi energia stazioni stimati in 30.000,00euro/anno primo lotto 15.000 euro/anno secondo lotto</t>
  </si>
  <si>
    <t>Costi generali e amministrativi 100.000 euro</t>
  </si>
  <si>
    <t>Si considera di intercettare l'80% dell'attuale flusso di TPL autobus</t>
  </si>
  <si>
    <t xml:space="preserve">NOTE: Si considerano i dati relativi all' intero Comune di Trento. Area di studio = area di influenza come specificato nel documento TN1,ALL.06.06 Analisi trasportistica cap.2.2 </t>
  </si>
  <si>
    <t xml:space="preserve">NOTE ALLE COMPONENTI </t>
  </si>
  <si>
    <t>La suddivisione si riferisce a preliminare definitivo esecutivo e a ciascuna progettazione si assegna un valore percentuale sull'importo lavori</t>
  </si>
  <si>
    <t>C806 (*)</t>
  </si>
  <si>
    <t>Costo suddiviso per il 70% al primo anno di cantiere e 30% al secondo anno</t>
  </si>
  <si>
    <t>Previsione di magazzino centralizzato a sardagna a servizio di entrambi i lotti</t>
  </si>
  <si>
    <t>Percorsi di accesso alle stazioni</t>
  </si>
  <si>
    <t>Ascensori/scale mobili in stazione</t>
  </si>
  <si>
    <t>Impianto elettrico e speciali di stazione (illuminazione,  segnalazione passeggeri, imbarchi, ecc)</t>
  </si>
  <si>
    <t>Opere meccaniche funiviario con opzione 2 anelli di fune (sovrapprezzo 2,2 Milioni di euro)</t>
  </si>
  <si>
    <t xml:space="preserve"> Si assegna un valore percentuale sull'importo lavori</t>
  </si>
  <si>
    <t>Rilievi, accertamenti e indagini, Spese di cui all'articolo 113, comma 4 del D.lgs. 50/2016, Incentivo di cui all'articolo 113, comma 2  del D.lgs. 50/2016, spese per attività tecnico-amministrative connesse alla progettazione, di supporto al responsabile del procedimento, e di verifica e di validazione, Spese per attività tecnico-amministrative connesse alla progettazione, di supporto al responsabile del procedimento, e di verifica e di validazione di cui all'articolo 26 del D.lgs. 50/2016, Spese per commissioni giudicatrici, Spese per pubblicità e , ove previsto, per opere artistiche,  Spese per accertamenti di laboratorio e verifiche tecniche previste dal capitolato speciale d'appalto, Collaudo tecnico-amministrativo, collaudo statico ed altri eventuali collaudi specialistici, Opere compensative e di monitoraggi</t>
  </si>
  <si>
    <t>Il costo è suddiviso per i tre anni di cantiere,  si assegna un valore percentuale sull'importo lavori</t>
  </si>
  <si>
    <t>Innalzamento linea Terna prima dell'abitato di Sardagna .Protezione sopra starda statale. Demolizione funivia esistente  (quest'ultima nel primo anno di esercizio), Adeguamento viabilità sardagna. Innalzamento linee Terna tra Sardagna e Vaneze</t>
  </si>
  <si>
    <t>Costi opere civili, impianti civili e sistemi di comunicazione e sicurezza: CONTRATTO INIZIO 2026 CON MODALITA' DI PAGAMENTO ACCONTO  2026 PARI AL 5%, 20% AL PRIMO ANNO DI CANTIERE 2026, 45% AL SECONDO ANNO DI CANTIERE 2027, RESTANTE 30% ULTIMO ANNO DI CANTIERE DA SUDDIVIDERE IN SAL</t>
  </si>
  <si>
    <t>Parcheggi area ex italcementi e Vaneze [come da appendice addendudum 3.2.1 pag32 punto11]</t>
  </si>
  <si>
    <t>Opere edili di linea per 39 sostegni</t>
  </si>
  <si>
    <t>Opere edili stazioni:  opere di forza cinque stazioni + opere civili complete stazione sardagna + quota parte opere civili stazione ex sit e ex italcementi</t>
  </si>
  <si>
    <t xml:space="preserve">Opere civili pertinenziali ex-sit, ex-italcementi, sistemazioni architettoniche stazioni </t>
  </si>
  <si>
    <t>N.122 cabine</t>
  </si>
  <si>
    <t>IMPIANTO DI TRASPORTO COLLETTIVO TRA LA CITTA' DI TRENTO ED IL MONTE BONDONE</t>
  </si>
  <si>
    <t>Costi  Direttore di Esercizio 50.000 euro (30.000 primo lotto, 20000 secondo lotto)</t>
  </si>
  <si>
    <t>Costi energia: primo lotto 500.000 euro , secondo lotto 350.000 euro</t>
  </si>
  <si>
    <t xml:space="preserve">Accantonamenti per revisione straordinaria  5.310.000/20  +primo lotto: 80.000 di manutenzione ordinaria e secondo lotto 120.000 euro di manutenzione ordinaria </t>
  </si>
  <si>
    <t>1,086 (orizzontale) – 1,157 (inclinata)</t>
  </si>
  <si>
    <t>15 programmato / 5 con corse bis</t>
  </si>
  <si>
    <r>
      <t>Anno Y</t>
    </r>
    <r>
      <rPr>
        <b/>
        <vertAlign val="subscript"/>
        <sz val="11"/>
        <color indexed="9"/>
        <rFont val="Arial Narrow"/>
        <family val="2"/>
      </rPr>
      <t>1</t>
    </r>
    <r>
      <rPr>
        <b/>
        <sz val="11"/>
        <color indexed="9"/>
        <rFont val="Arial Narrow"/>
        <family val="2"/>
      </rPr>
      <t xml:space="preserve"> = 2022</t>
    </r>
  </si>
  <si>
    <r>
      <t>Anno Y</t>
    </r>
    <r>
      <rPr>
        <b/>
        <vertAlign val="subscript"/>
        <sz val="11"/>
        <color indexed="9"/>
        <rFont val="Arial Narrow"/>
        <family val="2"/>
      </rPr>
      <t>1</t>
    </r>
    <r>
      <rPr>
        <b/>
        <sz val="11"/>
        <color indexed="9"/>
        <rFont val="Arial Narrow"/>
        <family val="2"/>
      </rPr>
      <t xml:space="preserve"> = 2023</t>
    </r>
    <r>
      <rPr>
        <sz val="11"/>
        <color theme="1"/>
        <rFont val="Calibri"/>
        <family val="2"/>
        <scheme val="minor"/>
      </rPr>
      <t/>
    </r>
  </si>
  <si>
    <r>
      <t>Anno Y</t>
    </r>
    <r>
      <rPr>
        <b/>
        <vertAlign val="subscript"/>
        <sz val="11"/>
        <color indexed="9"/>
        <rFont val="Arial Narrow"/>
        <family val="2"/>
      </rPr>
      <t>1</t>
    </r>
    <r>
      <rPr>
        <b/>
        <sz val="11"/>
        <color indexed="9"/>
        <rFont val="Arial Narrow"/>
        <family val="2"/>
      </rPr>
      <t xml:space="preserve"> = 2024</t>
    </r>
    <r>
      <rPr>
        <sz val="11"/>
        <color theme="1"/>
        <rFont val="Calibri"/>
        <family val="2"/>
        <scheme val="minor"/>
      </rPr>
      <t/>
    </r>
  </si>
  <si>
    <r>
      <t>Anno Y</t>
    </r>
    <r>
      <rPr>
        <b/>
        <vertAlign val="subscript"/>
        <sz val="11"/>
        <color indexed="9"/>
        <rFont val="Arial Narrow"/>
        <family val="2"/>
      </rPr>
      <t>1</t>
    </r>
    <r>
      <rPr>
        <b/>
        <sz val="11"/>
        <color indexed="9"/>
        <rFont val="Arial Narrow"/>
        <family val="2"/>
      </rPr>
      <t xml:space="preserve"> = 2025</t>
    </r>
    <r>
      <rPr>
        <sz val="11"/>
        <color theme="1"/>
        <rFont val="Calibri"/>
        <family val="2"/>
        <scheme val="minor"/>
      </rPr>
      <t/>
    </r>
  </si>
  <si>
    <r>
      <t>Anno Y</t>
    </r>
    <r>
      <rPr>
        <b/>
        <vertAlign val="subscript"/>
        <sz val="11"/>
        <color indexed="9"/>
        <rFont val="Arial Narrow"/>
        <family val="2"/>
      </rPr>
      <t>1</t>
    </r>
    <r>
      <rPr>
        <b/>
        <sz val="11"/>
        <color indexed="9"/>
        <rFont val="Arial Narrow"/>
        <family val="2"/>
      </rPr>
      <t xml:space="preserve"> = 2026</t>
    </r>
    <r>
      <rPr>
        <sz val="11"/>
        <color theme="1"/>
        <rFont val="Calibri"/>
        <family val="2"/>
        <scheme val="minor"/>
      </rPr>
      <t/>
    </r>
  </si>
  <si>
    <r>
      <t>Anno Y</t>
    </r>
    <r>
      <rPr>
        <b/>
        <vertAlign val="subscript"/>
        <sz val="11"/>
        <color indexed="9"/>
        <rFont val="Arial Narrow"/>
        <family val="2"/>
      </rPr>
      <t>1</t>
    </r>
    <r>
      <rPr>
        <b/>
        <sz val="11"/>
        <color indexed="9"/>
        <rFont val="Arial Narrow"/>
        <family val="2"/>
      </rPr>
      <t xml:space="preserve"> = 2027</t>
    </r>
    <r>
      <rPr>
        <sz val="11"/>
        <color theme="1"/>
        <rFont val="Calibri"/>
        <family val="2"/>
        <scheme val="minor"/>
      </rPr>
      <t/>
    </r>
  </si>
  <si>
    <t>Il valore è derivato parametricamente considerando il 8% del valore riferito a tutto il Comune di Trento</t>
  </si>
  <si>
    <t>Linea ESISTENTI: Linea extraurbana autobus B202 (tratta Trento - Vason)</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</si>
</sst>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0.00\ &quot;€&quot;_-;\-* #,##0.00\ &quot;€&quot;_-;_-* &quot;-&quot;??\ &quot;€&quot;_-;_-@_-"/>
    <numFmt numFmtId="43" formatCode="_-* #,##0.00\ _€_-;\-* #,##0.00\ _€_-;_-* &quot;-&quot;??\ _€_-;_-@_-"/>
    <numFmt numFmtId="164" formatCode="_-* #,##0.00_-;\-* #,##0.00_-;_-* &quot;-&quot;??_-;_-@_-"/>
    <numFmt numFmtId="165" formatCode="_-* #,##0_-;\-* #,##0_-;_-* &quot;-&quot;??_-;_-@_-"/>
    <numFmt numFmtId="166" formatCode="_-* #,##0.000_-;\-* #,##0.000_-;_-* &quot;-&quot;??_-;_-@_-"/>
    <numFmt numFmtId="167" formatCode="#,##0_ ;\-#,##0\ "/>
    <numFmt numFmtId="168" formatCode="0.000"/>
    <numFmt numFmtId="169" formatCode="0.0000%"/>
    <numFmt numFmtId="170" formatCode="_-* #,##0.00_-;\-* #,##0.00_-;_-* \-??_-;_-@_-"/>
    <numFmt numFmtId="171" formatCode="#,##0_ ;[Red]\-#,##0\ "/>
    <numFmt numFmtId="172" formatCode="0.0%"/>
    <numFmt numFmtId="173" formatCode="_-* #,##0.0_-;\-* #,##0.0_-;_-* &quot;-&quot;??_-;_-@_-"/>
    <numFmt numFmtId="174" formatCode="&quot; &quot;#,##0.00&quot; &quot;;&quot;-&quot;#,##0.00&quot; &quot;;&quot; -&quot;#&quot; &quot;;&quot; &quot;@&quot; &quot;"/>
    <numFmt numFmtId="175" formatCode="[$-410]0%"/>
    <numFmt numFmtId="176" formatCode="[$€-410]&quot; &quot;#,##0.00;[Red]&quot;-&quot;[$€-410]&quot; &quot;#,##0.00"/>
  </numFmts>
  <fonts count="47" x14ac:knownFonts="1">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1"/>
      <color indexed="8"/>
      <name val="Arial Narrow"/>
      <family val="2"/>
    </font>
    <font>
      <b/>
      <sz val="11"/>
      <color indexed="9"/>
      <name val="Arial Narrow"/>
      <family val="2"/>
    </font>
    <font>
      <b/>
      <vertAlign val="subscript"/>
      <sz val="11"/>
      <color indexed="9"/>
      <name val="Arial Narrow"/>
      <family val="2"/>
    </font>
    <font>
      <b/>
      <sz val="11"/>
      <color indexed="8"/>
      <name val="Arial Narrow"/>
      <family val="2"/>
    </font>
    <font>
      <sz val="11"/>
      <name val="Arial Narrow"/>
      <family val="2"/>
    </font>
    <font>
      <b/>
      <sz val="11"/>
      <name val="Arial Narrow"/>
      <family val="2"/>
    </font>
    <font>
      <sz val="11"/>
      <color indexed="8"/>
      <name val="Arial Narrow"/>
      <family val="2"/>
    </font>
    <font>
      <sz val="11"/>
      <color indexed="10"/>
      <name val="Arial Narrow"/>
      <family val="2"/>
    </font>
    <font>
      <b/>
      <sz val="11"/>
      <color indexed="8"/>
      <name val="Arial Narrow"/>
      <family val="2"/>
    </font>
    <font>
      <sz val="9"/>
      <color indexed="81"/>
      <name val="Tahoma"/>
      <family val="2"/>
    </font>
    <font>
      <b/>
      <sz val="9"/>
      <color indexed="81"/>
      <name val="Tahoma"/>
      <family val="2"/>
    </font>
    <font>
      <b/>
      <sz val="11"/>
      <color indexed="10"/>
      <name val="Arial Narrow"/>
      <family val="2"/>
    </font>
    <font>
      <sz val="11"/>
      <color indexed="9"/>
      <name val="Calibri"/>
      <family val="2"/>
    </font>
    <font>
      <b/>
      <vertAlign val="subscript"/>
      <sz val="11"/>
      <name val="Arial Narrow"/>
      <family val="2"/>
    </font>
    <font>
      <vertAlign val="subscript"/>
      <sz val="11"/>
      <name val="Arial Narrow"/>
      <family val="2"/>
    </font>
    <font>
      <i/>
      <sz val="11"/>
      <name val="Arial Narrow"/>
      <family val="2"/>
    </font>
    <font>
      <i/>
      <sz val="11"/>
      <color indexed="8"/>
      <name val="Arial Narrow"/>
      <family val="2"/>
    </font>
    <font>
      <b/>
      <sz val="11"/>
      <color indexed="8"/>
      <name val="Arial Narrow"/>
      <family val="2"/>
    </font>
    <font>
      <sz val="11"/>
      <color indexed="8"/>
      <name val="Arial Narrow"/>
      <family val="2"/>
    </font>
    <font>
      <sz val="11"/>
      <color indexed="9"/>
      <name val="Arial Narrow"/>
      <family val="2"/>
    </font>
    <font>
      <b/>
      <sz val="12"/>
      <color indexed="10"/>
      <name val="Arial Narrow"/>
      <family val="2"/>
    </font>
    <font>
      <b/>
      <vertAlign val="subscript"/>
      <sz val="11"/>
      <color indexed="8"/>
      <name val="Arial Narrow"/>
      <family val="2"/>
    </font>
    <font>
      <sz val="11"/>
      <color indexed="60"/>
      <name val="Arial Narrow"/>
      <family val="2"/>
    </font>
    <font>
      <sz val="11"/>
      <color indexed="60"/>
      <name val="Calibri"/>
      <family val="2"/>
    </font>
    <font>
      <sz val="11"/>
      <color indexed="16"/>
      <name val="Arial Narrow"/>
      <family val="2"/>
    </font>
    <font>
      <sz val="11"/>
      <color indexed="60"/>
      <name val="Calibri"/>
      <family val="2"/>
    </font>
    <font>
      <b/>
      <sz val="11"/>
      <color rgb="FF000000"/>
      <name val="Arial Narrow"/>
      <family val="2"/>
      <charset val="1"/>
    </font>
    <font>
      <sz val="11"/>
      <color rgb="FF000000"/>
      <name val="Arial Narrow"/>
      <family val="2"/>
      <charset val="1"/>
    </font>
    <font>
      <sz val="11"/>
      <color theme="1"/>
      <name val="Arial Narrow"/>
      <family val="2"/>
    </font>
    <font>
      <sz val="9"/>
      <color theme="1"/>
      <name val="Arial Narrow"/>
      <family val="2"/>
    </font>
    <font>
      <b/>
      <sz val="10"/>
      <color indexed="10"/>
      <name val="Arial Narrow"/>
      <family val="2"/>
    </font>
    <font>
      <sz val="10"/>
      <color rgb="FF000000"/>
      <name val="Arial Narrow"/>
      <family val="2"/>
      <charset val="1"/>
    </font>
    <font>
      <i/>
      <sz val="11"/>
      <color rgb="FF000000"/>
      <name val="Arial Narrow"/>
      <family val="2"/>
      <charset val="1"/>
    </font>
    <font>
      <b/>
      <sz val="10"/>
      <color rgb="FF000000"/>
      <name val="Arial Narrow"/>
      <family val="2"/>
      <charset val="1"/>
    </font>
    <font>
      <sz val="11"/>
      <name val="Arial Narrow"/>
      <family val="2"/>
      <charset val="1"/>
    </font>
    <font>
      <sz val="11"/>
      <color rgb="FFFF0000"/>
      <name val="Arial Narrow"/>
      <family val="2"/>
    </font>
    <font>
      <sz val="11"/>
      <color theme="5"/>
      <name val="Arial Narrow"/>
      <family val="2"/>
    </font>
    <font>
      <sz val="11"/>
      <color rgb="FF000000"/>
      <name val="Calibri"/>
      <family val="2"/>
      <charset val="1"/>
    </font>
    <font>
      <b/>
      <sz val="11"/>
      <color rgb="FFFF0000"/>
      <name val="Arial Narrow"/>
      <family val="2"/>
      <charset val="1"/>
    </font>
    <font>
      <sz val="11"/>
      <color theme="1"/>
      <name val="Arial"/>
      <family val="2"/>
    </font>
    <font>
      <sz val="11"/>
      <color rgb="FF9C0006"/>
      <name val="Arial"/>
      <family val="2"/>
    </font>
    <font>
      <b/>
      <i/>
      <sz val="16"/>
      <color theme="1"/>
      <name val="Arial"/>
      <family val="2"/>
    </font>
    <font>
      <b/>
      <i/>
      <u/>
      <sz val="11"/>
      <color theme="1"/>
      <name val="Arial"/>
      <family val="2"/>
    </font>
  </fonts>
  <fills count="16">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49"/>
        <bgColor indexed="64"/>
      </patternFill>
    </fill>
    <fill>
      <patternFill patternType="solid">
        <fgColor indexed="44"/>
        <bgColor indexed="64"/>
      </patternFill>
    </fill>
    <fill>
      <patternFill patternType="solid">
        <fgColor indexed="9"/>
        <bgColor indexed="64"/>
      </patternFill>
    </fill>
    <fill>
      <patternFill patternType="solid">
        <fgColor indexed="29"/>
        <bgColor indexed="64"/>
      </patternFill>
    </fill>
    <fill>
      <patternFill patternType="solid">
        <fgColor indexed="21"/>
        <bgColor indexed="64"/>
      </patternFill>
    </fill>
    <fill>
      <patternFill patternType="solid">
        <fgColor indexed="49"/>
        <bgColor indexed="26"/>
      </patternFill>
    </fill>
    <fill>
      <patternFill patternType="solid">
        <fgColor theme="0"/>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D9D9D9"/>
        <bgColor rgb="FFDAEEF3"/>
      </patternFill>
    </fill>
    <fill>
      <patternFill patternType="solid">
        <fgColor theme="0" tint="-0.249977111117893"/>
        <bgColor indexed="64"/>
      </patternFill>
    </fill>
    <fill>
      <patternFill patternType="solid">
        <fgColor theme="0" tint="-0.249977111117893"/>
        <bgColor rgb="FFDAEEF3"/>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4">
    <xf numFmtId="0" fontId="0" fillId="0" borderId="0"/>
    <xf numFmtId="164" fontId="2" fillId="0" borderId="0" applyFont="0" applyFill="0" applyBorder="0" applyAlignment="0" applyProtection="0"/>
    <xf numFmtId="164"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0" fontId="41" fillId="0" borderId="0"/>
    <xf numFmtId="170" fontId="41" fillId="0" borderId="0" applyBorder="0" applyProtection="0"/>
    <xf numFmtId="9" fontId="41" fillId="0" borderId="0" applyBorder="0" applyProtection="0"/>
    <xf numFmtId="9" fontId="41" fillId="0" borderId="0" applyBorder="0" applyProtection="0"/>
    <xf numFmtId="0" fontId="43" fillId="0" borderId="0"/>
    <xf numFmtId="174" fontId="43" fillId="0" borderId="0"/>
    <xf numFmtId="0" fontId="44" fillId="0" borderId="0"/>
    <xf numFmtId="174" fontId="43" fillId="0" borderId="0"/>
    <xf numFmtId="175" fontId="43" fillId="0" borderId="0"/>
    <xf numFmtId="0" fontId="45" fillId="0" borderId="0">
      <alignment horizontal="center"/>
    </xf>
    <xf numFmtId="0" fontId="45" fillId="0" borderId="0">
      <alignment horizontal="center" textRotation="90"/>
    </xf>
    <xf numFmtId="175" fontId="43" fillId="0" borderId="0"/>
    <xf numFmtId="0" fontId="46" fillId="0" borderId="0"/>
    <xf numFmtId="176" fontId="46" fillId="0" borderId="0"/>
    <xf numFmtId="0" fontId="1" fillId="0" borderId="0"/>
    <xf numFmtId="0" fontId="1" fillId="0" borderId="0"/>
    <xf numFmtId="9" fontId="2" fillId="0" borderId="0" applyFont="0" applyFill="0" applyBorder="0" applyAlignment="0" applyProtection="0"/>
  </cellStyleXfs>
  <cellXfs count="328">
    <xf numFmtId="0" fontId="0" fillId="0" borderId="0" xfId="0"/>
    <xf numFmtId="0" fontId="9" fillId="2" borderId="1" xfId="0" applyFont="1" applyFill="1" applyBorder="1" applyAlignment="1">
      <alignment horizontal="left" vertical="center"/>
    </xf>
    <xf numFmtId="0" fontId="4" fillId="2" borderId="1" xfId="0" applyFont="1" applyFill="1" applyBorder="1" applyAlignment="1">
      <alignment vertical="center"/>
    </xf>
    <xf numFmtId="0" fontId="8" fillId="2" borderId="1" xfId="0" applyFont="1" applyFill="1" applyBorder="1" applyAlignment="1">
      <alignment vertical="center"/>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vertical="center"/>
    </xf>
    <xf numFmtId="0" fontId="8" fillId="0" borderId="1" xfId="0" applyFont="1" applyBorder="1" applyAlignment="1">
      <alignment vertical="center"/>
    </xf>
    <xf numFmtId="0" fontId="4" fillId="0" borderId="0" xfId="0" applyFont="1" applyFill="1" applyAlignment="1">
      <alignment vertical="center"/>
    </xf>
    <xf numFmtId="0" fontId="8" fillId="0" borderId="0" xfId="0" applyFont="1" applyAlignment="1">
      <alignment vertical="center"/>
    </xf>
    <xf numFmtId="164" fontId="8" fillId="0" borderId="1" xfId="2"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Border="1" applyAlignment="1">
      <alignment vertical="center"/>
    </xf>
    <xf numFmtId="0" fontId="8" fillId="0" borderId="0" xfId="2" applyNumberFormat="1" applyFont="1" applyFill="1" applyBorder="1" applyAlignment="1">
      <alignment vertical="center"/>
    </xf>
    <xf numFmtId="0" fontId="4" fillId="0" borderId="0" xfId="2" applyNumberFormat="1" applyFont="1" applyFill="1" applyBorder="1" applyAlignment="1">
      <alignment vertical="center"/>
    </xf>
    <xf numFmtId="0" fontId="9" fillId="2" borderId="1" xfId="2" applyNumberFormat="1" applyFont="1" applyFill="1" applyBorder="1" applyAlignment="1">
      <alignment horizontal="center" vertical="center"/>
    </xf>
    <xf numFmtId="164" fontId="4" fillId="0" borderId="1" xfId="2" applyFont="1" applyFill="1" applyBorder="1" applyAlignment="1">
      <alignment vertical="center"/>
    </xf>
    <xf numFmtId="0" fontId="7" fillId="0" borderId="1" xfId="2" applyNumberFormat="1" applyFont="1" applyFill="1" applyBorder="1" applyAlignment="1">
      <alignment horizontal="center" vertical="center" wrapText="1"/>
    </xf>
    <xf numFmtId="0" fontId="9" fillId="0" borderId="1" xfId="2" applyNumberFormat="1" applyFont="1" applyFill="1" applyBorder="1" applyAlignment="1">
      <alignment horizontal="center" vertical="center"/>
    </xf>
    <xf numFmtId="0" fontId="8" fillId="0" borderId="1" xfId="2" applyNumberFormat="1" applyFont="1" applyFill="1" applyBorder="1" applyAlignment="1">
      <alignment horizontal="center" vertical="center"/>
    </xf>
    <xf numFmtId="0" fontId="9" fillId="0" borderId="1" xfId="2" applyNumberFormat="1" applyFont="1" applyFill="1" applyBorder="1" applyAlignment="1">
      <alignment horizontal="center" vertical="center" wrapText="1"/>
    </xf>
    <xf numFmtId="164" fontId="7" fillId="2" borderId="1" xfId="2"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3" fontId="9" fillId="0" borderId="1" xfId="2" applyNumberFormat="1" applyFont="1" applyFill="1" applyBorder="1" applyAlignment="1">
      <alignment vertical="center"/>
    </xf>
    <xf numFmtId="3" fontId="8" fillId="0" borderId="1" xfId="2" applyNumberFormat="1" applyFont="1" applyFill="1" applyBorder="1" applyAlignment="1">
      <alignment vertical="center"/>
    </xf>
    <xf numFmtId="0" fontId="10" fillId="2" borderId="1" xfId="0" applyFont="1" applyFill="1" applyBorder="1" applyAlignment="1">
      <alignment vertical="center" wrapText="1"/>
    </xf>
    <xf numFmtId="2" fontId="9" fillId="0" borderId="1" xfId="2" applyNumberFormat="1" applyFont="1" applyFill="1" applyBorder="1" applyAlignment="1">
      <alignment vertical="center"/>
    </xf>
    <xf numFmtId="2" fontId="8" fillId="0" borderId="1" xfId="2" applyNumberFormat="1" applyFont="1" applyFill="1" applyBorder="1" applyAlignment="1">
      <alignment vertical="center"/>
    </xf>
    <xf numFmtId="0" fontId="9" fillId="0" borderId="1" xfId="2" applyNumberFormat="1" applyFont="1" applyFill="1" applyBorder="1" applyAlignment="1">
      <alignment vertical="center"/>
    </xf>
    <xf numFmtId="0" fontId="8" fillId="2" borderId="1" xfId="0" applyFont="1" applyFill="1" applyBorder="1" applyAlignment="1">
      <alignment horizontal="center" vertical="center"/>
    </xf>
    <xf numFmtId="0" fontId="8" fillId="2" borderId="1" xfId="2" applyNumberFormat="1" applyFont="1" applyFill="1" applyBorder="1" applyAlignment="1">
      <alignment horizontal="center" vertical="center"/>
    </xf>
    <xf numFmtId="164" fontId="4" fillId="0" borderId="1" xfId="2" applyFont="1" applyBorder="1" applyAlignment="1">
      <alignment vertical="center"/>
    </xf>
    <xf numFmtId="0" fontId="8" fillId="0" borderId="1" xfId="2" applyNumberFormat="1" applyFont="1" applyFill="1" applyBorder="1" applyAlignment="1">
      <alignment vertical="center"/>
    </xf>
    <xf numFmtId="0" fontId="4" fillId="0" borderId="1" xfId="2" applyNumberFormat="1" applyFont="1" applyFill="1" applyBorder="1" applyAlignment="1">
      <alignment vertical="center"/>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166" fontId="8" fillId="2" borderId="1" xfId="2" applyNumberFormat="1" applyFont="1" applyFill="1" applyBorder="1" applyAlignment="1">
      <alignment horizontal="center" vertical="center"/>
    </xf>
    <xf numFmtId="165" fontId="8" fillId="2" borderId="1" xfId="2" applyNumberFormat="1" applyFont="1" applyFill="1" applyBorder="1" applyAlignment="1">
      <alignment horizontal="center" vertical="center"/>
    </xf>
    <xf numFmtId="167" fontId="4" fillId="2" borderId="1" xfId="2" applyNumberFormat="1" applyFont="1" applyFill="1" applyBorder="1" applyAlignment="1">
      <alignment horizontal="center" vertical="center"/>
    </xf>
    <xf numFmtId="164" fontId="12" fillId="2" borderId="1" xfId="2" applyFont="1" applyFill="1" applyBorder="1" applyAlignment="1">
      <alignment vertical="center"/>
    </xf>
    <xf numFmtId="164" fontId="12" fillId="2" borderId="1" xfId="0" applyNumberFormat="1" applyFont="1" applyFill="1" applyBorder="1" applyAlignment="1">
      <alignment vertical="center"/>
    </xf>
    <xf numFmtId="165" fontId="4" fillId="2" borderId="1" xfId="2" applyNumberFormat="1" applyFont="1" applyFill="1" applyBorder="1" applyAlignment="1">
      <alignment vertical="center"/>
    </xf>
    <xf numFmtId="165" fontId="11" fillId="2" borderId="1" xfId="2" applyNumberFormat="1" applyFont="1" applyFill="1" applyBorder="1" applyAlignment="1">
      <alignment vertical="center"/>
    </xf>
    <xf numFmtId="166" fontId="8" fillId="2" borderId="1" xfId="2" applyNumberFormat="1" applyFont="1" applyFill="1" applyBorder="1" applyAlignment="1">
      <alignment vertical="center"/>
    </xf>
    <xf numFmtId="166" fontId="8" fillId="2" borderId="1" xfId="0" applyNumberFormat="1" applyFont="1" applyFill="1" applyBorder="1" applyAlignment="1">
      <alignment horizontal="center" vertical="center"/>
    </xf>
    <xf numFmtId="166" fontId="4" fillId="2" borderId="1" xfId="2" applyNumberFormat="1" applyFont="1" applyFill="1" applyBorder="1" applyAlignment="1">
      <alignment vertical="center"/>
    </xf>
    <xf numFmtId="164" fontId="8" fillId="2" borderId="1" xfId="2" applyFont="1" applyFill="1" applyBorder="1" applyAlignment="1">
      <alignment horizontal="center" vertical="center"/>
    </xf>
    <xf numFmtId="166" fontId="4" fillId="2" borderId="1" xfId="0" applyNumberFormat="1" applyFont="1" applyFill="1" applyBorder="1" applyAlignment="1">
      <alignment vertical="center"/>
    </xf>
    <xf numFmtId="0" fontId="4" fillId="3" borderId="1" xfId="0" applyFont="1" applyFill="1" applyBorder="1" applyAlignment="1">
      <alignment vertical="center"/>
    </xf>
    <xf numFmtId="0" fontId="8" fillId="3" borderId="1" xfId="0" applyFont="1" applyFill="1" applyBorder="1" applyAlignment="1">
      <alignment vertical="center"/>
    </xf>
    <xf numFmtId="0" fontId="9" fillId="3" borderId="1" xfId="0" applyFont="1" applyFill="1" applyBorder="1" applyAlignment="1">
      <alignment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6" borderId="1" xfId="2" applyNumberFormat="1" applyFont="1" applyFill="1" applyBorder="1" applyAlignment="1">
      <alignment horizontal="center" vertical="center"/>
    </xf>
    <xf numFmtId="0" fontId="8" fillId="2" borderId="1" xfId="4"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0" fontId="9" fillId="5" borderId="1" xfId="0" applyFont="1" applyFill="1" applyBorder="1" applyAlignment="1">
      <alignment horizontal="center" vertical="center" wrapText="1"/>
    </xf>
    <xf numFmtId="0" fontId="9" fillId="2" borderId="1" xfId="0" applyFont="1" applyFill="1" applyBorder="1" applyAlignment="1">
      <alignment horizontal="center" vertical="center"/>
    </xf>
    <xf numFmtId="164" fontId="9" fillId="6" borderId="1" xfId="2" applyFont="1" applyFill="1" applyBorder="1" applyAlignment="1">
      <alignment horizontal="center" vertical="center"/>
    </xf>
    <xf numFmtId="0" fontId="12" fillId="0" borderId="0" xfId="0" applyFont="1" applyAlignment="1">
      <alignment vertical="center"/>
    </xf>
    <xf numFmtId="0" fontId="4"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3" borderId="1" xfId="0" applyFont="1" applyFill="1" applyBorder="1" applyAlignment="1">
      <alignment vertical="center"/>
    </xf>
    <xf numFmtId="164" fontId="9" fillId="0" borderId="1" xfId="0" applyNumberFormat="1" applyFont="1" applyBorder="1" applyAlignment="1">
      <alignment vertical="center"/>
    </xf>
    <xf numFmtId="0" fontId="9" fillId="0" borderId="1" xfId="0" applyFont="1" applyBorder="1" applyAlignment="1">
      <alignment vertical="center"/>
    </xf>
    <xf numFmtId="167" fontId="8" fillId="2" borderId="1" xfId="2" applyNumberFormat="1" applyFont="1" applyFill="1" applyBorder="1" applyAlignment="1">
      <alignment horizontal="center" vertical="center"/>
    </xf>
    <xf numFmtId="0" fontId="19" fillId="3" borderId="1" xfId="0" applyFont="1" applyFill="1" applyBorder="1" applyAlignment="1">
      <alignment horizontal="right" vertical="center"/>
    </xf>
    <xf numFmtId="0" fontId="19" fillId="3" borderId="1" xfId="0" applyFont="1" applyFill="1" applyBorder="1" applyAlignment="1">
      <alignment vertical="center"/>
    </xf>
    <xf numFmtId="0" fontId="8" fillId="3" borderId="1" xfId="0" applyFont="1" applyFill="1" applyBorder="1" applyAlignment="1">
      <alignment horizontal="left" vertical="center"/>
    </xf>
    <xf numFmtId="0" fontId="10" fillId="3" borderId="1" xfId="0" applyFont="1" applyFill="1" applyBorder="1" applyAlignment="1">
      <alignment vertical="center" wrapText="1"/>
    </xf>
    <xf numFmtId="0" fontId="7" fillId="3" borderId="1" xfId="0" applyFont="1" applyFill="1" applyBorder="1" applyAlignment="1">
      <alignment vertical="center" wrapText="1"/>
    </xf>
    <xf numFmtId="0" fontId="9" fillId="3" borderId="1" xfId="0" applyFont="1" applyFill="1" applyBorder="1" applyAlignment="1">
      <alignment horizontal="left" vertical="center"/>
    </xf>
    <xf numFmtId="0" fontId="4" fillId="3" borderId="2" xfId="0" applyFont="1" applyFill="1" applyBorder="1" applyAlignment="1">
      <alignment vertical="center"/>
    </xf>
    <xf numFmtId="0" fontId="8" fillId="3" borderId="3" xfId="0" applyFont="1" applyFill="1" applyBorder="1" applyAlignment="1">
      <alignment vertical="center"/>
    </xf>
    <xf numFmtId="0" fontId="12" fillId="3" borderId="2" xfId="0" applyFont="1" applyFill="1" applyBorder="1" applyAlignment="1">
      <alignment vertical="center"/>
    </xf>
    <xf numFmtId="0" fontId="9" fillId="3" borderId="3" xfId="0" applyFont="1" applyFill="1" applyBorder="1" applyAlignment="1">
      <alignment vertical="center"/>
    </xf>
    <xf numFmtId="0" fontId="4" fillId="5" borderId="1" xfId="0" applyFont="1" applyFill="1" applyBorder="1" applyAlignment="1">
      <alignment horizontal="center" vertical="center"/>
    </xf>
    <xf numFmtId="0" fontId="20" fillId="3" borderId="2" xfId="0" applyFont="1" applyFill="1" applyBorder="1" applyAlignment="1">
      <alignment horizontal="right" vertical="center"/>
    </xf>
    <xf numFmtId="0" fontId="4" fillId="0" borderId="0" xfId="0" applyFont="1"/>
    <xf numFmtId="164" fontId="4" fillId="0" borderId="0" xfId="0" applyNumberFormat="1" applyFont="1"/>
    <xf numFmtId="0" fontId="4" fillId="0" borderId="0" xfId="0" applyFont="1" applyAlignment="1">
      <alignment horizontal="center"/>
    </xf>
    <xf numFmtId="0" fontId="22" fillId="3" borderId="1" xfId="0" applyFont="1" applyFill="1" applyBorder="1" applyAlignment="1">
      <alignment vertical="center"/>
    </xf>
    <xf numFmtId="0" fontId="21" fillId="3" borderId="1" xfId="0" applyFont="1" applyFill="1" applyBorder="1" applyAlignment="1">
      <alignment vertical="center"/>
    </xf>
    <xf numFmtId="0" fontId="22" fillId="5"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9" fontId="8" fillId="7" borderId="1" xfId="4" applyFont="1" applyFill="1" applyBorder="1" applyAlignment="1">
      <alignment horizontal="center" vertical="center"/>
    </xf>
    <xf numFmtId="164" fontId="12" fillId="7" borderId="1" xfId="2" applyFont="1" applyFill="1" applyBorder="1" applyAlignment="1">
      <alignment vertical="center"/>
    </xf>
    <xf numFmtId="164" fontId="8" fillId="7" borderId="1" xfId="2" applyFont="1" applyFill="1" applyBorder="1" applyAlignment="1">
      <alignment horizontal="center" vertical="center"/>
    </xf>
    <xf numFmtId="164" fontId="9" fillId="7" borderId="1" xfId="2" applyFont="1" applyFill="1" applyBorder="1" applyAlignment="1">
      <alignment horizontal="center" vertical="center"/>
    </xf>
    <xf numFmtId="164" fontId="9" fillId="7" borderId="1" xfId="2" applyNumberFormat="1" applyFont="1" applyFill="1" applyBorder="1" applyAlignment="1">
      <alignment horizontal="center" vertical="center"/>
    </xf>
    <xf numFmtId="164" fontId="7" fillId="7" borderId="1" xfId="2" applyFont="1" applyFill="1" applyBorder="1" applyAlignment="1">
      <alignment horizontal="center" vertical="center" wrapText="1"/>
    </xf>
    <xf numFmtId="164" fontId="9" fillId="7" borderId="1" xfId="2" applyFont="1" applyFill="1" applyBorder="1" applyAlignment="1">
      <alignment horizontal="left" vertical="center"/>
    </xf>
    <xf numFmtId="164" fontId="12" fillId="7" borderId="1" xfId="2" applyNumberFormat="1" applyFont="1" applyFill="1" applyBorder="1" applyAlignment="1">
      <alignment vertical="center"/>
    </xf>
    <xf numFmtId="164" fontId="8" fillId="7" borderId="1" xfId="2" applyFont="1" applyFill="1" applyBorder="1" applyAlignment="1">
      <alignment horizontal="left" vertical="center"/>
    </xf>
    <xf numFmtId="0" fontId="9" fillId="7" borderId="1" xfId="2" applyNumberFormat="1" applyFont="1" applyFill="1" applyBorder="1" applyAlignment="1">
      <alignment horizontal="center" vertical="center"/>
    </xf>
    <xf numFmtId="166" fontId="8" fillId="7" borderId="1" xfId="2" applyNumberFormat="1" applyFont="1" applyFill="1" applyBorder="1" applyAlignment="1">
      <alignment horizontal="center" vertical="center"/>
    </xf>
    <xf numFmtId="165" fontId="8" fillId="7" borderId="1" xfId="2" applyNumberFormat="1" applyFont="1" applyFill="1" applyBorder="1" applyAlignment="1">
      <alignment horizontal="center" vertical="center"/>
    </xf>
    <xf numFmtId="166" fontId="4" fillId="7" borderId="1" xfId="2" applyNumberFormat="1" applyFont="1" applyFill="1" applyBorder="1" applyAlignment="1">
      <alignment horizontal="center" vertical="center"/>
    </xf>
    <xf numFmtId="164" fontId="8" fillId="7" borderId="1" xfId="2" applyFont="1" applyFill="1" applyBorder="1" applyAlignment="1">
      <alignment vertical="center"/>
    </xf>
    <xf numFmtId="164" fontId="4" fillId="7" borderId="1" xfId="2" applyFont="1" applyFill="1" applyBorder="1" applyAlignment="1">
      <alignment vertical="center"/>
    </xf>
    <xf numFmtId="164" fontId="12" fillId="7" borderId="1" xfId="0" applyNumberFormat="1" applyFont="1" applyFill="1" applyBorder="1" applyAlignment="1">
      <alignment vertical="center"/>
    </xf>
    <xf numFmtId="164" fontId="9" fillId="7" borderId="1" xfId="2" applyFont="1" applyFill="1" applyBorder="1" applyAlignment="1">
      <alignment vertical="center"/>
    </xf>
    <xf numFmtId="164" fontId="4" fillId="7" borderId="1" xfId="0" applyNumberFormat="1" applyFont="1" applyFill="1" applyBorder="1" applyAlignment="1">
      <alignment horizontal="center" vertical="center"/>
    </xf>
    <xf numFmtId="164" fontId="8" fillId="7" borderId="1" xfId="0" applyNumberFormat="1" applyFont="1" applyFill="1" applyBorder="1" applyAlignment="1">
      <alignment horizontal="center" vertical="center"/>
    </xf>
    <xf numFmtId="0" fontId="9" fillId="7" borderId="1" xfId="2" applyNumberFormat="1" applyFont="1" applyFill="1" applyBorder="1" applyAlignment="1">
      <alignment vertical="center"/>
    </xf>
    <xf numFmtId="9" fontId="12" fillId="7" borderId="1" xfId="2" applyNumberFormat="1" applyFont="1" applyFill="1" applyBorder="1" applyAlignment="1">
      <alignment vertical="center"/>
    </xf>
    <xf numFmtId="165" fontId="9" fillId="7" borderId="1" xfId="1" applyNumberFormat="1" applyFont="1" applyFill="1" applyBorder="1" applyAlignment="1" applyProtection="1">
      <alignment horizontal="center" vertical="center"/>
    </xf>
    <xf numFmtId="9" fontId="9" fillId="7" borderId="1" xfId="4" applyFont="1" applyFill="1" applyBorder="1" applyAlignment="1" applyProtection="1">
      <alignment horizontal="right" vertical="center"/>
    </xf>
    <xf numFmtId="0" fontId="4" fillId="7" borderId="1" xfId="0" applyFont="1" applyFill="1" applyBorder="1" applyAlignment="1">
      <alignment horizontal="center"/>
    </xf>
    <xf numFmtId="10" fontId="4" fillId="7" borderId="1" xfId="4" applyNumberFormat="1" applyFont="1" applyFill="1" applyBorder="1" applyAlignment="1">
      <alignment vertical="center"/>
    </xf>
    <xf numFmtId="10" fontId="11" fillId="7" borderId="1" xfId="4" applyNumberFormat="1" applyFont="1" applyFill="1" applyBorder="1" applyAlignment="1">
      <alignment vertical="center"/>
    </xf>
    <xf numFmtId="165" fontId="11" fillId="7" borderId="1" xfId="2" applyNumberFormat="1" applyFont="1" applyFill="1" applyBorder="1" applyAlignment="1">
      <alignment vertical="center"/>
    </xf>
    <xf numFmtId="166" fontId="8" fillId="7" borderId="1" xfId="2" applyNumberFormat="1" applyFont="1" applyFill="1" applyBorder="1" applyAlignment="1">
      <alignment vertical="center"/>
    </xf>
    <xf numFmtId="166" fontId="11" fillId="7" borderId="1" xfId="2" applyNumberFormat="1" applyFont="1" applyFill="1" applyBorder="1" applyAlignment="1">
      <alignment vertical="center"/>
    </xf>
    <xf numFmtId="166" fontId="4" fillId="7" borderId="1" xfId="2" applyNumberFormat="1" applyFont="1" applyFill="1" applyBorder="1" applyAlignment="1">
      <alignment vertical="center"/>
    </xf>
    <xf numFmtId="164" fontId="8" fillId="7" borderId="1" xfId="2" applyFont="1" applyFill="1" applyBorder="1" applyAlignment="1" applyProtection="1">
      <alignment horizontal="center" vertical="center"/>
    </xf>
    <xf numFmtId="164" fontId="9" fillId="7" borderId="1" xfId="2" applyFont="1" applyFill="1" applyBorder="1" applyAlignment="1" applyProtection="1">
      <alignment horizontal="center" vertical="center"/>
    </xf>
    <xf numFmtId="164" fontId="9" fillId="7" borderId="1" xfId="2" applyFont="1" applyFill="1" applyBorder="1" applyAlignment="1" applyProtection="1">
      <alignment horizontal="right" vertical="center"/>
    </xf>
    <xf numFmtId="0" fontId="12" fillId="0" borderId="0" xfId="0" applyFont="1"/>
    <xf numFmtId="164" fontId="4" fillId="7" borderId="1" xfId="2" applyFont="1" applyFill="1" applyBorder="1" applyAlignment="1">
      <alignment horizontal="center"/>
    </xf>
    <xf numFmtId="0" fontId="15" fillId="0" borderId="0" xfId="0" applyFont="1" applyAlignment="1">
      <alignment vertical="center"/>
    </xf>
    <xf numFmtId="0" fontId="24"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wrapText="1"/>
    </xf>
    <xf numFmtId="0" fontId="8" fillId="0" borderId="0" xfId="0" applyFont="1" applyAlignment="1">
      <alignment vertical="center" wrapText="1"/>
    </xf>
    <xf numFmtId="0" fontId="26" fillId="0" borderId="0" xfId="0" applyFont="1" applyAlignment="1">
      <alignment horizontal="right" vertical="center" wrapText="1"/>
    </xf>
    <xf numFmtId="0" fontId="28" fillId="0" borderId="0" xfId="0" applyFont="1"/>
    <xf numFmtId="164" fontId="28" fillId="0" borderId="0" xfId="0" applyNumberFormat="1" applyFont="1"/>
    <xf numFmtId="0" fontId="27" fillId="0" borderId="0" xfId="0" applyFont="1"/>
    <xf numFmtId="0" fontId="29" fillId="0" borderId="0" xfId="0" applyFont="1" applyAlignment="1">
      <alignment horizontal="right" vertical="center"/>
    </xf>
    <xf numFmtId="0" fontId="5" fillId="4" borderId="1" xfId="0" applyFont="1" applyFill="1" applyBorder="1" applyAlignment="1">
      <alignment horizontal="center" vertical="center"/>
    </xf>
    <xf numFmtId="0" fontId="4" fillId="11" borderId="0" xfId="0" applyFont="1" applyFill="1" applyAlignment="1">
      <alignment vertical="center"/>
    </xf>
    <xf numFmtId="0" fontId="7" fillId="0" borderId="0" xfId="0" applyFont="1"/>
    <xf numFmtId="0" fontId="34" fillId="0" borderId="0" xfId="0" applyFont="1" applyAlignment="1">
      <alignment vertical="center" wrapText="1"/>
    </xf>
    <xf numFmtId="0" fontId="4" fillId="12" borderId="0" xfId="0" applyFont="1" applyFill="1" applyAlignment="1">
      <alignment vertical="center"/>
    </xf>
    <xf numFmtId="0" fontId="12" fillId="12" borderId="1" xfId="0" applyFont="1" applyFill="1" applyBorder="1" applyAlignment="1">
      <alignment horizontal="center" vertical="center"/>
    </xf>
    <xf numFmtId="0" fontId="5" fillId="4" borderId="1" xfId="0" applyFont="1" applyFill="1" applyBorder="1" applyAlignment="1">
      <alignment horizontal="center" vertical="center"/>
    </xf>
    <xf numFmtId="43" fontId="4" fillId="0" borderId="1" xfId="0" applyNumberFormat="1" applyFont="1" applyBorder="1" applyAlignment="1">
      <alignment vertical="center"/>
    </xf>
    <xf numFmtId="43" fontId="4" fillId="0" borderId="1" xfId="2" applyNumberFormat="1" applyFont="1" applyFill="1" applyBorder="1" applyAlignment="1">
      <alignment vertical="center"/>
    </xf>
    <xf numFmtId="0" fontId="4" fillId="0" borderId="1" xfId="0" applyFont="1" applyFill="1" applyBorder="1" applyAlignment="1">
      <alignment vertical="center"/>
    </xf>
    <xf numFmtId="0" fontId="35" fillId="13" borderId="0" xfId="0" applyFont="1" applyFill="1" applyAlignment="1">
      <alignment horizontal="center" vertical="center"/>
    </xf>
    <xf numFmtId="0" fontId="36" fillId="13" borderId="0" xfId="0" applyFont="1" applyFill="1" applyAlignment="1">
      <alignment horizontal="center" vertical="center"/>
    </xf>
    <xf numFmtId="0" fontId="31" fillId="13" borderId="0" xfId="0" applyFont="1" applyFill="1" applyAlignment="1">
      <alignment horizontal="center" vertical="center"/>
    </xf>
    <xf numFmtId="0" fontId="37" fillId="13" borderId="0" xfId="0" applyFont="1" applyFill="1" applyAlignment="1">
      <alignment horizontal="center" vertical="center"/>
    </xf>
    <xf numFmtId="0" fontId="4" fillId="0" borderId="1" xfId="0" applyFont="1" applyFill="1" applyBorder="1" applyAlignment="1">
      <alignment vertical="center" wrapText="1"/>
    </xf>
    <xf numFmtId="2" fontId="4" fillId="0" borderId="1" xfId="0" applyNumberFormat="1" applyFont="1" applyFill="1" applyBorder="1" applyAlignment="1">
      <alignment vertical="center"/>
    </xf>
    <xf numFmtId="3" fontId="7" fillId="0" borderId="1" xfId="2" applyNumberFormat="1" applyFont="1" applyFill="1" applyBorder="1" applyAlignment="1">
      <alignment horizontal="center" vertical="center" wrapText="1"/>
    </xf>
    <xf numFmtId="164" fontId="11" fillId="0" borderId="1" xfId="6" applyFont="1" applyFill="1" applyBorder="1" applyAlignment="1">
      <alignment vertical="center"/>
    </xf>
    <xf numFmtId="164" fontId="32" fillId="0" borderId="1" xfId="6" applyFont="1" applyFill="1" applyBorder="1" applyAlignment="1">
      <alignment vertical="center"/>
    </xf>
    <xf numFmtId="164" fontId="8" fillId="0" borderId="1" xfId="6" applyFont="1" applyFill="1" applyBorder="1" applyAlignment="1">
      <alignment vertical="center"/>
    </xf>
    <xf numFmtId="164" fontId="11" fillId="12" borderId="1" xfId="6" applyFont="1" applyFill="1" applyBorder="1" applyAlignment="1">
      <alignment vertical="center"/>
    </xf>
    <xf numFmtId="164" fontId="32" fillId="12" borderId="1" xfId="6" applyFont="1" applyFill="1" applyBorder="1" applyAlignment="1">
      <alignment vertical="center"/>
    </xf>
    <xf numFmtId="164" fontId="39" fillId="12" borderId="1" xfId="6" applyFont="1" applyFill="1" applyBorder="1" applyAlignment="1">
      <alignment vertical="center"/>
    </xf>
    <xf numFmtId="164" fontId="39" fillId="0" borderId="1" xfId="6" applyFont="1" applyFill="1" applyBorder="1" applyAlignment="1">
      <alignment vertical="center"/>
    </xf>
    <xf numFmtId="164" fontId="4" fillId="0" borderId="1" xfId="6" applyFont="1" applyFill="1" applyBorder="1" applyAlignment="1">
      <alignment vertical="center"/>
    </xf>
    <xf numFmtId="164" fontId="8" fillId="12" borderId="1" xfId="6" applyFont="1" applyFill="1" applyBorder="1" applyAlignment="1">
      <alignment vertical="center"/>
    </xf>
    <xf numFmtId="0" fontId="40" fillId="0" borderId="0" xfId="0" applyFont="1" applyAlignment="1">
      <alignment vertical="center"/>
    </xf>
    <xf numFmtId="0" fontId="39" fillId="0" borderId="0" xfId="0" applyFont="1" applyAlignment="1">
      <alignment vertical="center"/>
    </xf>
    <xf numFmtId="44" fontId="4" fillId="0" borderId="0" xfId="5" applyFont="1" applyAlignment="1">
      <alignment vertical="center"/>
    </xf>
    <xf numFmtId="164" fontId="4" fillId="0" borderId="0" xfId="0" applyNumberFormat="1" applyFont="1" applyAlignment="1">
      <alignment vertical="center"/>
    </xf>
    <xf numFmtId="44" fontId="4" fillId="0" borderId="0" xfId="0" applyNumberFormat="1" applyFont="1" applyAlignment="1">
      <alignment vertical="center"/>
    </xf>
    <xf numFmtId="0" fontId="4" fillId="0" borderId="0" xfId="0" applyFont="1" applyAlignment="1">
      <alignment horizontal="right" vertical="center"/>
    </xf>
    <xf numFmtId="43" fontId="4" fillId="0" borderId="0" xfId="0" applyNumberFormat="1" applyFont="1" applyAlignment="1">
      <alignment vertical="center"/>
    </xf>
    <xf numFmtId="10" fontId="4" fillId="0" borderId="0" xfId="4" applyNumberFormat="1" applyFont="1" applyAlignment="1">
      <alignment vertical="center"/>
    </xf>
    <xf numFmtId="169" fontId="4" fillId="0" borderId="0" xfId="4" applyNumberFormat="1" applyFont="1" applyAlignment="1">
      <alignment vertical="center"/>
    </xf>
    <xf numFmtId="43" fontId="4" fillId="0" borderId="1" xfId="0" applyNumberFormat="1" applyFont="1" applyFill="1" applyBorder="1" applyAlignment="1">
      <alignment vertical="center"/>
    </xf>
    <xf numFmtId="171" fontId="38" fillId="0" borderId="1" xfId="0" applyNumberFormat="1" applyFont="1" applyBorder="1" applyAlignment="1">
      <alignment vertical="center"/>
    </xf>
    <xf numFmtId="168" fontId="4" fillId="7" borderId="1" xfId="2" applyNumberFormat="1" applyFont="1" applyFill="1" applyBorder="1" applyAlignment="1">
      <alignment horizontal="center" vertical="center"/>
    </xf>
    <xf numFmtId="168" fontId="4" fillId="0" borderId="0" xfId="0" applyNumberFormat="1" applyFont="1" applyAlignment="1">
      <alignment vertical="center"/>
    </xf>
    <xf numFmtId="0" fontId="31" fillId="13" borderId="0" xfId="0" applyFont="1" applyFill="1" applyAlignment="1">
      <alignment vertical="center"/>
    </xf>
    <xf numFmtId="0" fontId="31" fillId="13" borderId="0" xfId="0" applyFont="1" applyFill="1" applyBorder="1" applyAlignment="1">
      <alignment horizontal="center" vertical="center"/>
    </xf>
    <xf numFmtId="0" fontId="31" fillId="13" borderId="0" xfId="0" applyFont="1" applyFill="1" applyBorder="1" applyAlignment="1">
      <alignment vertical="center"/>
    </xf>
    <xf numFmtId="0" fontId="31" fillId="13" borderId="0" xfId="6" applyNumberFormat="1" applyFont="1" applyFill="1" applyBorder="1" applyAlignment="1" applyProtection="1">
      <alignment horizontal="center" vertical="center"/>
    </xf>
    <xf numFmtId="0" fontId="38" fillId="13" borderId="0" xfId="6" applyNumberFormat="1" applyFont="1" applyFill="1" applyBorder="1" applyAlignment="1" applyProtection="1">
      <alignment vertical="center"/>
    </xf>
    <xf numFmtId="0" fontId="42" fillId="13" borderId="0" xfId="6" applyNumberFormat="1" applyFont="1" applyFill="1" applyBorder="1" applyAlignment="1" applyProtection="1">
      <alignment horizontal="left" vertical="center" wrapText="1"/>
    </xf>
    <xf numFmtId="0" fontId="8" fillId="0" borderId="1" xfId="0" applyFont="1" applyFill="1" applyBorder="1" applyAlignment="1">
      <alignment vertical="center"/>
    </xf>
    <xf numFmtId="0" fontId="4" fillId="0" borderId="2" xfId="0" applyFont="1" applyFill="1" applyBorder="1" applyAlignment="1">
      <alignment vertical="center"/>
    </xf>
    <xf numFmtId="0" fontId="8" fillId="0" borderId="2" xfId="0" applyFont="1" applyFill="1" applyBorder="1" applyAlignment="1">
      <alignment vertical="center"/>
    </xf>
    <xf numFmtId="0" fontId="4" fillId="0" borderId="1" xfId="0" applyFont="1" applyFill="1" applyBorder="1" applyAlignment="1">
      <alignment vertical="center" textRotation="90"/>
    </xf>
    <xf numFmtId="0" fontId="8" fillId="0" borderId="1" xfId="0" applyFont="1" applyFill="1" applyBorder="1" applyAlignment="1">
      <alignment vertical="center" textRotation="90"/>
    </xf>
    <xf numFmtId="164" fontId="4" fillId="0" borderId="2" xfId="2" applyFont="1" applyFill="1" applyBorder="1" applyAlignment="1">
      <alignment vertical="center"/>
    </xf>
    <xf numFmtId="172" fontId="4" fillId="0" borderId="1" xfId="4" applyNumberFormat="1" applyFont="1" applyFill="1" applyBorder="1" applyAlignment="1">
      <alignment vertical="center"/>
    </xf>
    <xf numFmtId="165" fontId="4" fillId="0" borderId="1" xfId="2" applyNumberFormat="1" applyFont="1" applyFill="1" applyBorder="1" applyAlignment="1">
      <alignment horizontal="right" vertical="center"/>
    </xf>
    <xf numFmtId="172" fontId="4" fillId="0" borderId="1" xfId="4" applyNumberFormat="1" applyFont="1" applyFill="1" applyBorder="1" applyAlignment="1">
      <alignment horizontal="right" vertical="center"/>
    </xf>
    <xf numFmtId="2" fontId="4" fillId="0" borderId="1" xfId="0" applyNumberFormat="1" applyFont="1" applyFill="1" applyBorder="1" applyAlignment="1">
      <alignment horizontal="right" vertical="center"/>
    </xf>
    <xf numFmtId="43" fontId="4" fillId="0" borderId="1" xfId="0" applyNumberFormat="1" applyFont="1" applyFill="1" applyBorder="1" applyAlignment="1">
      <alignment horizontal="right" vertical="center"/>
    </xf>
    <xf numFmtId="0" fontId="5" fillId="4" borderId="1" xfId="0" applyFont="1" applyFill="1" applyBorder="1" applyAlignment="1">
      <alignment horizontal="center" vertical="center"/>
    </xf>
    <xf numFmtId="165" fontId="4" fillId="0" borderId="1" xfId="2" applyNumberFormat="1" applyFont="1" applyFill="1" applyBorder="1" applyAlignment="1">
      <alignment vertical="center"/>
    </xf>
    <xf numFmtId="165" fontId="4" fillId="0" borderId="1" xfId="0" applyNumberFormat="1" applyFont="1" applyFill="1" applyBorder="1" applyAlignment="1">
      <alignment vertical="center"/>
    </xf>
    <xf numFmtId="172" fontId="4" fillId="0" borderId="1" xfId="0" applyNumberFormat="1" applyFont="1" applyFill="1" applyBorder="1" applyAlignment="1">
      <alignment vertical="center"/>
    </xf>
    <xf numFmtId="164" fontId="4" fillId="0" borderId="1" xfId="0" applyNumberFormat="1" applyFont="1" applyFill="1" applyBorder="1" applyAlignment="1">
      <alignment vertical="center"/>
    </xf>
    <xf numFmtId="10" fontId="8" fillId="0" borderId="1" xfId="4" applyNumberFormat="1" applyFont="1" applyFill="1" applyBorder="1" applyAlignment="1">
      <alignment vertical="center"/>
    </xf>
    <xf numFmtId="164" fontId="8" fillId="0" borderId="1" xfId="2" applyFont="1" applyFill="1" applyBorder="1" applyAlignment="1">
      <alignment vertical="center"/>
    </xf>
    <xf numFmtId="0" fontId="8" fillId="10" borderId="1" xfId="0" applyFont="1" applyFill="1" applyBorder="1" applyAlignment="1">
      <alignment horizontal="center" vertical="center"/>
    </xf>
    <xf numFmtId="164" fontId="4" fillId="10" borderId="1" xfId="2" applyFont="1" applyFill="1" applyBorder="1" applyAlignment="1">
      <alignment vertical="center"/>
    </xf>
    <xf numFmtId="0" fontId="4" fillId="10" borderId="1" xfId="0" applyFont="1" applyFill="1" applyBorder="1" applyAlignment="1">
      <alignment vertical="center"/>
    </xf>
    <xf numFmtId="0" fontId="4" fillId="10" borderId="0" xfId="0" applyFont="1" applyFill="1" applyAlignment="1">
      <alignment vertical="center"/>
    </xf>
    <xf numFmtId="164" fontId="4" fillId="0" borderId="3" xfId="2" applyFont="1" applyBorder="1" applyAlignment="1">
      <alignment vertical="center"/>
    </xf>
    <xf numFmtId="164" fontId="4" fillId="0" borderId="2" xfId="2" applyFont="1" applyBorder="1" applyAlignment="1">
      <alignment vertical="center"/>
    </xf>
    <xf numFmtId="164" fontId="33" fillId="10" borderId="1" xfId="2" applyFont="1" applyFill="1" applyBorder="1" applyAlignment="1">
      <alignment vertical="center" textRotation="90" wrapText="1"/>
    </xf>
    <xf numFmtId="173" fontId="8" fillId="0" borderId="1" xfId="2" applyNumberFormat="1" applyFont="1" applyFill="1" applyBorder="1" applyAlignment="1">
      <alignment horizontal="center" vertical="center"/>
    </xf>
    <xf numFmtId="164" fontId="8" fillId="10" borderId="1" xfId="2" applyFont="1" applyFill="1" applyBorder="1" applyAlignment="1">
      <alignment horizontal="center" vertical="center"/>
    </xf>
    <xf numFmtId="164" fontId="33" fillId="10" borderId="1" xfId="2" applyFont="1" applyFill="1" applyBorder="1" applyAlignment="1">
      <alignment vertical="center"/>
    </xf>
    <xf numFmtId="164" fontId="33" fillId="10" borderId="1" xfId="2" applyFont="1" applyFill="1" applyBorder="1" applyAlignment="1">
      <alignment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xf>
    <xf numFmtId="164" fontId="4" fillId="10" borderId="1" xfId="2" applyFont="1" applyFill="1" applyBorder="1" applyAlignment="1">
      <alignment horizontal="right" vertical="center"/>
    </xf>
    <xf numFmtId="0" fontId="4" fillId="10" borderId="0" xfId="0" applyFont="1" applyFill="1" applyAlignment="1">
      <alignment horizontal="right" vertical="center"/>
    </xf>
    <xf numFmtId="164" fontId="32" fillId="10" borderId="1" xfId="2" applyFont="1" applyFill="1" applyBorder="1" applyAlignment="1">
      <alignment horizontal="right" vertical="center"/>
    </xf>
    <xf numFmtId="0" fontId="4" fillId="14" borderId="0" xfId="0" applyFont="1" applyFill="1" applyAlignment="1">
      <alignment vertical="center" wrapText="1"/>
    </xf>
    <xf numFmtId="0" fontId="4" fillId="14" borderId="0" xfId="0" applyFont="1" applyFill="1" applyAlignment="1">
      <alignment horizontal="center" vertical="center"/>
    </xf>
    <xf numFmtId="0" fontId="4" fillId="14" borderId="0" xfId="0" applyFont="1" applyFill="1" applyAlignment="1">
      <alignment vertical="center"/>
    </xf>
    <xf numFmtId="10" fontId="4" fillId="14" borderId="0" xfId="4" applyNumberFormat="1" applyFont="1" applyFill="1" applyAlignment="1">
      <alignment vertical="center"/>
    </xf>
    <xf numFmtId="172" fontId="4" fillId="14" borderId="0" xfId="4" applyNumberFormat="1" applyFont="1" applyFill="1" applyAlignment="1">
      <alignment vertical="center"/>
    </xf>
    <xf numFmtId="164" fontId="4" fillId="14" borderId="0" xfId="2" applyFont="1" applyFill="1" applyAlignment="1">
      <alignment vertical="center"/>
    </xf>
    <xf numFmtId="164" fontId="4" fillId="14" borderId="0" xfId="2" applyNumberFormat="1" applyFont="1" applyFill="1" applyAlignment="1">
      <alignment vertical="center"/>
    </xf>
    <xf numFmtId="173" fontId="4" fillId="14" borderId="0" xfId="2" applyNumberFormat="1" applyFont="1" applyFill="1" applyAlignment="1">
      <alignment vertical="center"/>
    </xf>
    <xf numFmtId="0" fontId="8" fillId="14" borderId="0" xfId="0" applyFont="1" applyFill="1" applyAlignment="1">
      <alignment vertical="center"/>
    </xf>
    <xf numFmtId="172" fontId="8" fillId="0" borderId="1" xfId="4" applyNumberFormat="1" applyFont="1" applyFill="1" applyBorder="1" applyAlignment="1">
      <alignment vertical="center"/>
    </xf>
    <xf numFmtId="0" fontId="31" fillId="15" borderId="0" xfId="0" applyFont="1" applyFill="1" applyAlignment="1">
      <alignment horizontal="center" vertical="center"/>
    </xf>
    <xf numFmtId="0" fontId="31" fillId="15" borderId="0" xfId="0" applyFont="1" applyFill="1" applyAlignment="1">
      <alignment horizontal="left" vertical="center"/>
    </xf>
    <xf numFmtId="0" fontId="31" fillId="14" borderId="0" xfId="0" applyFont="1" applyFill="1" applyAlignment="1">
      <alignment vertical="center"/>
    </xf>
    <xf numFmtId="0" fontId="31" fillId="14" borderId="0" xfId="0" applyFont="1" applyFill="1" applyAlignment="1">
      <alignment horizontal="right" vertical="center"/>
    </xf>
    <xf numFmtId="0" fontId="31" fillId="14" borderId="0" xfId="0" applyFont="1" applyFill="1" applyAlignment="1">
      <alignment horizontal="center" vertical="center"/>
    </xf>
    <xf numFmtId="0" fontId="31" fillId="14" borderId="0" xfId="0" applyFont="1" applyFill="1" applyBorder="1" applyAlignment="1">
      <alignment horizontal="left" vertical="center"/>
    </xf>
    <xf numFmtId="2" fontId="30" fillId="14" borderId="0" xfId="0" applyNumberFormat="1" applyFont="1" applyFill="1" applyAlignment="1">
      <alignment horizontal="center" vertical="center"/>
    </xf>
    <xf numFmtId="0" fontId="31" fillId="14" borderId="0" xfId="0" applyFont="1" applyFill="1" applyBorder="1" applyAlignment="1">
      <alignment vertical="center"/>
    </xf>
    <xf numFmtId="0" fontId="31" fillId="14" borderId="0" xfId="0" applyFont="1" applyFill="1" applyBorder="1" applyAlignment="1">
      <alignment vertical="center" wrapText="1"/>
    </xf>
    <xf numFmtId="0" fontId="4" fillId="0" borderId="0" xfId="0" applyFont="1" applyFill="1" applyAlignment="1">
      <alignment horizontal="center" vertical="center"/>
    </xf>
    <xf numFmtId="0" fontId="7" fillId="14" borderId="0" xfId="0" applyFont="1" applyFill="1" applyAlignment="1">
      <alignment vertical="center"/>
    </xf>
    <xf numFmtId="0" fontId="4" fillId="14" borderId="0" xfId="0" applyFont="1" applyFill="1" applyAlignment="1">
      <alignment horizontal="left" vertical="center"/>
    </xf>
    <xf numFmtId="0" fontId="31" fillId="0" borderId="0" xfId="0" applyFont="1" applyFill="1" applyAlignment="1">
      <alignment horizontal="center" vertical="center"/>
    </xf>
    <xf numFmtId="0" fontId="31" fillId="0" borderId="0" xfId="0" applyFont="1" applyFill="1" applyAlignment="1">
      <alignment vertical="center"/>
    </xf>
    <xf numFmtId="0" fontId="31" fillId="0" borderId="0" xfId="0" applyFont="1" applyFill="1" applyBorder="1" applyAlignment="1">
      <alignment horizontal="center" vertical="center"/>
    </xf>
    <xf numFmtId="0" fontId="31" fillId="0" borderId="0" xfId="0" applyFont="1" applyFill="1" applyBorder="1" applyAlignment="1">
      <alignment vertical="center"/>
    </xf>
    <xf numFmtId="0" fontId="31" fillId="0" borderId="0" xfId="6" applyNumberFormat="1" applyFont="1" applyFill="1" applyBorder="1" applyAlignment="1" applyProtection="1">
      <alignment horizontal="center" vertical="center"/>
    </xf>
    <xf numFmtId="0" fontId="38" fillId="0" borderId="0" xfId="6" applyNumberFormat="1" applyFont="1" applyFill="1" applyBorder="1" applyAlignment="1" applyProtection="1">
      <alignment vertical="center"/>
    </xf>
    <xf numFmtId="0" fontId="31" fillId="0" borderId="0" xfId="6" applyNumberFormat="1" applyFont="1" applyFill="1" applyBorder="1" applyAlignment="1" applyProtection="1">
      <alignment vertical="center"/>
    </xf>
    <xf numFmtId="0" fontId="8" fillId="14" borderId="0" xfId="2" applyNumberFormat="1" applyFont="1" applyFill="1" applyBorder="1" applyAlignment="1">
      <alignment horizontal="center" vertical="center"/>
    </xf>
    <xf numFmtId="0" fontId="8" fillId="14" borderId="0" xfId="4" applyNumberFormat="1" applyFont="1" applyFill="1" applyBorder="1" applyAlignment="1">
      <alignment horizontal="center" vertical="center"/>
    </xf>
    <xf numFmtId="0" fontId="8" fillId="14" borderId="0" xfId="0" applyNumberFormat="1" applyFont="1" applyFill="1" applyBorder="1" applyAlignment="1">
      <alignment horizontal="center" vertical="center"/>
    </xf>
    <xf numFmtId="0" fontId="31" fillId="14" borderId="0" xfId="0" applyFont="1" applyFill="1" applyAlignment="1">
      <alignment horizontal="left" vertical="center"/>
    </xf>
    <xf numFmtId="4" fontId="31" fillId="14" borderId="0" xfId="0" applyNumberFormat="1" applyFont="1" applyFill="1" applyAlignment="1">
      <alignment horizontal="left" vertical="center"/>
    </xf>
    <xf numFmtId="3" fontId="38" fillId="14" borderId="0" xfId="0" applyNumberFormat="1" applyFont="1" applyFill="1" applyAlignment="1">
      <alignment horizontal="left" vertical="center"/>
    </xf>
    <xf numFmtId="0" fontId="15" fillId="0" borderId="0" xfId="0" applyFont="1" applyFill="1" applyAlignment="1">
      <alignment vertical="center"/>
    </xf>
    <xf numFmtId="0" fontId="12" fillId="0" borderId="0" xfId="0" applyFont="1" applyFill="1" applyAlignment="1">
      <alignment vertical="center"/>
    </xf>
    <xf numFmtId="0" fontId="8" fillId="0" borderId="0" xfId="0" applyFont="1" applyFill="1" applyAlignment="1">
      <alignment vertical="center"/>
    </xf>
    <xf numFmtId="0" fontId="5" fillId="4" borderId="1" xfId="0" applyFont="1" applyFill="1" applyBorder="1" applyAlignment="1">
      <alignment horizontal="center" vertical="center"/>
    </xf>
    <xf numFmtId="0" fontId="5" fillId="8"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27" fillId="0" borderId="0" xfId="0" applyFont="1" applyAlignment="1">
      <alignment horizontal="left" vertical="center" wrapText="1"/>
    </xf>
    <xf numFmtId="0" fontId="8" fillId="5" borderId="1" xfId="0" applyFont="1" applyFill="1" applyBorder="1" applyAlignment="1">
      <alignment horizontal="center" vertical="center" textRotation="90" wrapText="1"/>
    </xf>
    <xf numFmtId="0" fontId="4" fillId="5" borderId="1" xfId="0" applyFont="1" applyFill="1" applyBorder="1" applyAlignment="1">
      <alignment horizontal="center" vertical="center" textRotation="90" wrapText="1"/>
    </xf>
    <xf numFmtId="0" fontId="7"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4" fillId="5" borderId="4" xfId="0" applyFont="1" applyFill="1" applyBorder="1" applyAlignment="1">
      <alignment horizontal="center" vertical="center" textRotation="90" wrapText="1"/>
    </xf>
    <xf numFmtId="0" fontId="4" fillId="5" borderId="5" xfId="0" applyFont="1" applyFill="1" applyBorder="1" applyAlignment="1">
      <alignment horizontal="center" vertical="center" textRotation="90" wrapText="1"/>
    </xf>
    <xf numFmtId="0" fontId="4" fillId="5" borderId="6" xfId="0" applyFont="1" applyFill="1" applyBorder="1" applyAlignment="1">
      <alignment horizontal="center" vertical="center" textRotation="90" wrapText="1"/>
    </xf>
    <xf numFmtId="0" fontId="30" fillId="15" borderId="0" xfId="0" applyFont="1" applyFill="1" applyBorder="1" applyAlignment="1">
      <alignment horizontal="left" vertical="center"/>
    </xf>
    <xf numFmtId="0" fontId="7" fillId="14" borderId="0" xfId="0" applyFont="1" applyFill="1" applyAlignment="1">
      <alignment horizontal="center" vertical="center"/>
    </xf>
    <xf numFmtId="0" fontId="8" fillId="5" borderId="4" xfId="0" applyFont="1" applyFill="1" applyBorder="1" applyAlignment="1">
      <alignment horizontal="center" vertical="center" textRotation="90" wrapText="1"/>
    </xf>
    <xf numFmtId="0" fontId="8" fillId="5" borderId="5" xfId="0" applyFont="1" applyFill="1" applyBorder="1" applyAlignment="1">
      <alignment horizontal="center" vertical="center" textRotation="90" wrapText="1"/>
    </xf>
    <xf numFmtId="0" fontId="8" fillId="5" borderId="6" xfId="0" applyFont="1" applyFill="1" applyBorder="1" applyAlignment="1">
      <alignment horizontal="center" vertical="center" textRotation="90" wrapText="1"/>
    </xf>
    <xf numFmtId="0" fontId="5" fillId="8" borderId="3"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4" borderId="3"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2" xfId="0" applyFont="1" applyFill="1" applyBorder="1" applyAlignment="1">
      <alignment horizontal="center" vertical="center"/>
    </xf>
    <xf numFmtId="0" fontId="12" fillId="4" borderId="3"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4" fillId="0" borderId="0" xfId="0" applyFont="1" applyAlignment="1">
      <alignment horizontal="center" vertical="center"/>
    </xf>
    <xf numFmtId="0" fontId="8" fillId="4" borderId="1" xfId="0" applyFont="1" applyFill="1" applyBorder="1" applyAlignment="1">
      <alignment horizontal="center" vertical="center" textRotation="90" wrapText="1"/>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6" xfId="0" applyFont="1" applyFill="1" applyBorder="1" applyAlignment="1">
      <alignment horizontal="center" vertical="center"/>
    </xf>
    <xf numFmtId="0" fontId="4" fillId="4" borderId="4" xfId="0" applyFont="1" applyFill="1" applyBorder="1" applyAlignment="1">
      <alignment horizontal="center" vertical="center" textRotation="90" wrapText="1"/>
    </xf>
    <xf numFmtId="0" fontId="0" fillId="4" borderId="5" xfId="0" applyFill="1" applyBorder="1" applyAlignment="1">
      <alignment horizontal="center" vertical="center" textRotation="90" wrapText="1"/>
    </xf>
    <xf numFmtId="0" fontId="0" fillId="4" borderId="6" xfId="0" applyFill="1" applyBorder="1" applyAlignment="1">
      <alignment horizontal="center" vertical="center" textRotation="90" wrapText="1"/>
    </xf>
    <xf numFmtId="0" fontId="4" fillId="4" borderId="1" xfId="0" applyFont="1" applyFill="1" applyBorder="1" applyAlignment="1">
      <alignment horizontal="center" vertical="center" textRotation="90" wrapText="1"/>
    </xf>
    <xf numFmtId="0" fontId="0" fillId="4" borderId="1" xfId="0" applyFill="1" applyBorder="1" applyAlignment="1">
      <alignment horizontal="center" vertical="center" textRotation="90" wrapText="1"/>
    </xf>
    <xf numFmtId="0" fontId="4" fillId="4" borderId="5" xfId="0" applyFont="1" applyFill="1" applyBorder="1" applyAlignment="1">
      <alignment horizontal="center" vertical="center" textRotation="90" wrapText="1"/>
    </xf>
    <xf numFmtId="0" fontId="4" fillId="4" borderId="6" xfId="0" applyFont="1" applyFill="1" applyBorder="1" applyAlignment="1">
      <alignment horizontal="center" vertical="center" textRotation="90" wrapText="1"/>
    </xf>
    <xf numFmtId="0" fontId="4" fillId="14" borderId="0" xfId="0" applyFont="1" applyFill="1" applyAlignment="1">
      <alignment horizontal="left" vertical="center"/>
    </xf>
    <xf numFmtId="0" fontId="4" fillId="14" borderId="0" xfId="0" applyFont="1" applyFill="1" applyAlignment="1">
      <alignment horizontal="left" vertical="center" wrapText="1"/>
    </xf>
    <xf numFmtId="0" fontId="4" fillId="14" borderId="0" xfId="0" applyFont="1" applyFill="1" applyAlignment="1">
      <alignment horizontal="center" vertical="center" wrapText="1"/>
    </xf>
    <xf numFmtId="0" fontId="4" fillId="14" borderId="0" xfId="0" applyFont="1" applyFill="1" applyAlignment="1">
      <alignment horizontal="center" vertical="center"/>
    </xf>
    <xf numFmtId="0" fontId="29" fillId="0" borderId="0" xfId="0" applyFont="1" applyAlignment="1">
      <alignment horizontal="left" vertical="center"/>
    </xf>
    <xf numFmtId="0" fontId="8" fillId="4" borderId="4" xfId="0" applyFont="1" applyFill="1" applyBorder="1" applyAlignment="1">
      <alignment horizontal="center" vertical="center" textRotation="90" wrapText="1"/>
    </xf>
    <xf numFmtId="0" fontId="8" fillId="4" borderId="5" xfId="0" applyFont="1" applyFill="1" applyBorder="1" applyAlignment="1">
      <alignment horizontal="center" vertical="center" textRotation="90" wrapText="1"/>
    </xf>
    <xf numFmtId="0" fontId="7" fillId="14" borderId="0" xfId="0" applyFont="1" applyFill="1" applyBorder="1" applyAlignment="1">
      <alignment horizontal="center" vertical="center"/>
    </xf>
    <xf numFmtId="0" fontId="30" fillId="13" borderId="0" xfId="0" applyFont="1" applyFill="1" applyBorder="1" applyAlignment="1">
      <alignment horizontal="center" vertical="center"/>
    </xf>
    <xf numFmtId="0" fontId="8" fillId="5" borderId="4" xfId="0" applyFont="1" applyFill="1" applyBorder="1" applyAlignment="1">
      <alignment horizontal="center" vertical="center" textRotation="90"/>
    </xf>
    <xf numFmtId="0" fontId="8" fillId="5" borderId="5" xfId="0" applyFont="1" applyFill="1" applyBorder="1" applyAlignment="1">
      <alignment horizontal="center" vertical="center" textRotation="90"/>
    </xf>
    <xf numFmtId="0" fontId="8" fillId="5" borderId="6" xfId="0" applyFont="1" applyFill="1" applyBorder="1" applyAlignment="1">
      <alignment horizontal="center" vertical="center" textRotation="90"/>
    </xf>
    <xf numFmtId="0" fontId="5" fillId="4" borderId="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0" xfId="0" applyFont="1" applyFill="1" applyBorder="1" applyAlignment="1">
      <alignment horizontal="center" vertical="center" wrapText="1"/>
    </xf>
    <xf numFmtId="0" fontId="4" fillId="3" borderId="3" xfId="0" applyFont="1" applyFill="1" applyBorder="1" applyAlignment="1">
      <alignment horizontal="right" wrapText="1"/>
    </xf>
    <xf numFmtId="0" fontId="4" fillId="3" borderId="7" xfId="0" applyFont="1" applyFill="1" applyBorder="1" applyAlignment="1">
      <alignment horizontal="right" wrapText="1"/>
    </xf>
    <xf numFmtId="0" fontId="4" fillId="3" borderId="2" xfId="0" applyFont="1" applyFill="1" applyBorder="1" applyAlignment="1">
      <alignment horizontal="right" wrapText="1"/>
    </xf>
    <xf numFmtId="0" fontId="22" fillId="9" borderId="4" xfId="0" applyFont="1" applyFill="1" applyBorder="1" applyAlignment="1">
      <alignment horizontal="center" vertical="center" textRotation="90" wrapText="1"/>
    </xf>
    <xf numFmtId="0" fontId="22" fillId="9" borderId="5" xfId="0" applyFont="1" applyFill="1" applyBorder="1" applyAlignment="1">
      <alignment horizontal="center" vertical="center" textRotation="90" wrapText="1"/>
    </xf>
    <xf numFmtId="0" fontId="22" fillId="9" borderId="6" xfId="0" applyFont="1" applyFill="1" applyBorder="1" applyAlignment="1">
      <alignment horizontal="center" vertical="center" textRotation="90" wrapText="1"/>
    </xf>
    <xf numFmtId="0" fontId="21" fillId="5" borderId="3"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2" xfId="0" applyFont="1" applyFill="1" applyBorder="1" applyAlignment="1">
      <alignment horizontal="center" vertical="center" wrapText="1"/>
    </xf>
    <xf numFmtId="0" fontId="22" fillId="4" borderId="4" xfId="0" applyFont="1" applyFill="1" applyBorder="1" applyAlignment="1">
      <alignment horizontal="center" vertical="center" textRotation="90" wrapText="1"/>
    </xf>
    <xf numFmtId="0" fontId="22" fillId="4" borderId="5" xfId="0" applyFont="1" applyFill="1" applyBorder="1" applyAlignment="1">
      <alignment horizontal="center" vertical="center" textRotation="90" wrapText="1"/>
    </xf>
    <xf numFmtId="0" fontId="22" fillId="4" borderId="6" xfId="0" applyFont="1" applyFill="1" applyBorder="1" applyAlignment="1">
      <alignment horizontal="center" vertical="center" textRotation="90" wrapText="1"/>
    </xf>
    <xf numFmtId="0" fontId="4" fillId="4" borderId="4" xfId="0" applyFont="1" applyFill="1" applyBorder="1" applyAlignment="1">
      <alignment horizontal="center" vertical="center" textRotation="90"/>
    </xf>
    <xf numFmtId="0" fontId="0" fillId="4" borderId="5" xfId="0" applyFill="1" applyBorder="1" applyAlignment="1">
      <alignment horizontal="center" vertical="center" textRotation="90"/>
    </xf>
    <xf numFmtId="0" fontId="0" fillId="4" borderId="6" xfId="0" applyFill="1" applyBorder="1" applyAlignment="1">
      <alignment horizontal="center" vertical="center" textRotation="90"/>
    </xf>
    <xf numFmtId="0" fontId="4" fillId="0" borderId="0" xfId="0" applyFont="1" applyAlignment="1">
      <alignment horizontal="center" vertical="center" wrapText="1"/>
    </xf>
    <xf numFmtId="0" fontId="8" fillId="4" borderId="6" xfId="0" applyFont="1" applyFill="1" applyBorder="1" applyAlignment="1">
      <alignment horizontal="center" vertical="center" textRotation="90" wrapText="1"/>
    </xf>
  </cellXfs>
  <cellStyles count="24">
    <cellStyle name="Comma 2" xfId="1"/>
    <cellStyle name="Comma 2 2" xfId="12"/>
    <cellStyle name="ConditionalStyle_1" xfId="13"/>
    <cellStyle name="Excel Built-in Comma" xfId="14"/>
    <cellStyle name="Excel Built-in Percent" xfId="15"/>
    <cellStyle name="Heading" xfId="16"/>
    <cellStyle name="Heading1" xfId="17"/>
    <cellStyle name="Migliaia" xfId="2" builtinId="3"/>
    <cellStyle name="Migliaia 2" xfId="6"/>
    <cellStyle name="Migliaia 3" xfId="8"/>
    <cellStyle name="Normale" xfId="0" builtinId="0"/>
    <cellStyle name="Normale 2" xfId="7"/>
    <cellStyle name="Normale 2 2" xfId="21"/>
    <cellStyle name="Normale 3" xfId="22"/>
    <cellStyle name="Normale 4" xfId="11"/>
    <cellStyle name="Percent 2" xfId="3"/>
    <cellStyle name="Percent 2 2" xfId="18"/>
    <cellStyle name="Percentuale" xfId="4" builtinId="5"/>
    <cellStyle name="Percentuale 2" xfId="9"/>
    <cellStyle name="Percentuale 3" xfId="23"/>
    <cellStyle name="Result" xfId="19"/>
    <cellStyle name="Result2" xfId="20"/>
    <cellStyle name="Testo descrittivo 2" xfId="10"/>
    <cellStyle name="Valuta" xfId="5" builtinId="4"/>
  </cellStyles>
  <dxfs count="9">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AVVISO  2">
      <a:dk1>
        <a:sysClr val="windowText" lastClr="000000"/>
      </a:dk1>
      <a:lt1>
        <a:sysClr val="window" lastClr="FFFFFF"/>
      </a:lt1>
      <a:dk2>
        <a:srgbClr val="1F497D"/>
      </a:dk2>
      <a:lt2>
        <a:srgbClr val="EEECE1"/>
      </a:lt2>
      <a:accent1>
        <a:srgbClr val="FFBD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5"/>
  <sheetViews>
    <sheetView topLeftCell="C1" zoomScaleNormal="100" workbookViewId="0">
      <selection activeCell="N59" sqref="N59"/>
    </sheetView>
  </sheetViews>
  <sheetFormatPr defaultColWidth="9.140625" defaultRowHeight="16.5" x14ac:dyDescent="0.3"/>
  <cols>
    <col min="1" max="1" width="0.85546875" style="81" customWidth="1"/>
    <col min="2" max="2" width="8.42578125" style="81" customWidth="1"/>
    <col min="3" max="3" width="12.85546875" style="81" customWidth="1"/>
    <col min="4" max="4" width="34.7109375" style="81" customWidth="1"/>
    <col min="5" max="5" width="16.85546875" style="81" bestFit="1" customWidth="1"/>
    <col min="6" max="9" width="12.85546875" style="81" customWidth="1"/>
    <col min="10" max="12" width="12.42578125" style="81" bestFit="1" customWidth="1"/>
    <col min="13" max="13" width="17" style="81" bestFit="1" customWidth="1"/>
    <col min="14" max="16384" width="9.140625" style="81"/>
  </cols>
  <sheetData>
    <row r="1" spans="2:14" s="5" customFormat="1" ht="4.5" customHeight="1" x14ac:dyDescent="0.25">
      <c r="B1" s="4"/>
    </row>
    <row r="2" spans="2:14" s="123" customFormat="1" ht="23.25" customHeight="1" x14ac:dyDescent="0.25">
      <c r="B2" s="123" t="str">
        <f>+'3.1 Mobilità e Rete TPL'!B2</f>
        <v>IMPIANTO DI TRASPORTO COLLETTIVO TRA LA CITTA' DI TRENTO ED IL MONTE BONDONE</v>
      </c>
      <c r="C2" s="126"/>
      <c r="D2" s="126"/>
      <c r="E2" s="126"/>
      <c r="F2" s="126"/>
      <c r="G2" s="126"/>
      <c r="H2" s="126"/>
      <c r="I2" s="126"/>
      <c r="J2" s="126"/>
      <c r="M2" s="125" t="str">
        <f>+'3.1 Mobilità e Rete TPL'!L2</f>
        <v>sottoprogramma 3</v>
      </c>
    </row>
    <row r="3" spans="2:14" ht="4.5" customHeight="1" x14ac:dyDescent="0.3"/>
    <row r="4" spans="2:14" s="83" customFormat="1" ht="13.5" customHeight="1" x14ac:dyDescent="0.3">
      <c r="B4" s="270" t="s">
        <v>518</v>
      </c>
      <c r="C4" s="271"/>
      <c r="D4" s="271"/>
      <c r="E4" s="271"/>
      <c r="F4" s="271"/>
      <c r="G4" s="271"/>
      <c r="H4" s="271"/>
      <c r="I4" s="271"/>
      <c r="J4" s="271"/>
      <c r="K4" s="271"/>
      <c r="L4" s="271"/>
      <c r="M4" s="272"/>
    </row>
    <row r="5" spans="2:14" ht="3.75" customHeight="1" x14ac:dyDescent="0.3">
      <c r="F5" s="5"/>
      <c r="G5" s="5"/>
      <c r="H5" s="5"/>
      <c r="I5" s="5"/>
      <c r="J5" s="5"/>
      <c r="K5" s="5"/>
      <c r="L5" s="5"/>
      <c r="M5" s="5"/>
    </row>
    <row r="6" spans="2:14" s="83" customFormat="1" ht="13.5" customHeight="1" x14ac:dyDescent="0.3">
      <c r="B6" s="53" t="s">
        <v>42</v>
      </c>
      <c r="C6" s="53" t="s">
        <v>43</v>
      </c>
      <c r="D6" s="53" t="s">
        <v>178</v>
      </c>
      <c r="E6" s="53" t="s">
        <v>2</v>
      </c>
      <c r="F6" s="54" t="s">
        <v>611</v>
      </c>
      <c r="G6" s="54" t="s">
        <v>612</v>
      </c>
      <c r="H6" s="54" t="s">
        <v>27</v>
      </c>
      <c r="I6" s="54" t="s">
        <v>114</v>
      </c>
      <c r="J6" s="54" t="s">
        <v>115</v>
      </c>
      <c r="K6" s="208" t="s">
        <v>742</v>
      </c>
      <c r="L6" s="208" t="s">
        <v>743</v>
      </c>
      <c r="M6" s="208" t="s">
        <v>744</v>
      </c>
    </row>
    <row r="7" spans="2:14" ht="3.75" customHeight="1" x14ac:dyDescent="0.3">
      <c r="G7" s="5"/>
      <c r="H7" s="5"/>
      <c r="I7" s="5"/>
      <c r="J7" s="5"/>
      <c r="K7" s="5"/>
      <c r="L7" s="5"/>
      <c r="M7" s="5"/>
    </row>
    <row r="8" spans="2:14" s="121" customFormat="1" ht="13.5" customHeight="1" x14ac:dyDescent="0.3">
      <c r="C8" s="87" t="s">
        <v>484</v>
      </c>
      <c r="D8" s="85" t="s">
        <v>581</v>
      </c>
      <c r="E8" s="85" t="s">
        <v>619</v>
      </c>
      <c r="F8" s="138">
        <v>1.5</v>
      </c>
      <c r="G8" s="119">
        <f>+$F8</f>
        <v>1.5</v>
      </c>
      <c r="H8" s="119">
        <f t="shared" ref="H8:M8" si="0">+$F8</f>
        <v>1.5</v>
      </c>
      <c r="I8" s="119">
        <f t="shared" si="0"/>
        <v>1.5</v>
      </c>
      <c r="J8" s="119">
        <f t="shared" si="0"/>
        <v>1.5</v>
      </c>
      <c r="K8" s="119">
        <f t="shared" si="0"/>
        <v>1.5</v>
      </c>
      <c r="L8" s="119">
        <f t="shared" si="0"/>
        <v>1.5</v>
      </c>
      <c r="M8" s="119">
        <f t="shared" si="0"/>
        <v>1.5</v>
      </c>
      <c r="N8" s="135"/>
    </row>
    <row r="9" spans="2:14" ht="3.75" customHeight="1" x14ac:dyDescent="0.3">
      <c r="G9" s="5"/>
      <c r="H9" s="5"/>
      <c r="I9" s="5"/>
      <c r="J9" s="5"/>
      <c r="K9" s="5"/>
      <c r="L9" s="5"/>
      <c r="M9" s="5"/>
    </row>
    <row r="10" spans="2:14" ht="13.5" customHeight="1" x14ac:dyDescent="0.3">
      <c r="B10" s="320" t="s">
        <v>566</v>
      </c>
      <c r="C10" s="86" t="s">
        <v>485</v>
      </c>
      <c r="D10" s="84" t="s">
        <v>312</v>
      </c>
      <c r="E10" s="51" t="s">
        <v>596</v>
      </c>
      <c r="F10" s="36">
        <v>0</v>
      </c>
      <c r="G10" s="36">
        <v>0</v>
      </c>
      <c r="H10" s="36">
        <v>0</v>
      </c>
      <c r="I10" s="36">
        <v>0</v>
      </c>
      <c r="J10" s="118">
        <f>+'3.8 ABC'!N11</f>
        <v>926750</v>
      </c>
      <c r="K10" s="118">
        <f>+'3.8 ABC'!U11</f>
        <v>930750</v>
      </c>
      <c r="L10" s="118">
        <f>+'3.8 ABC'!AB11</f>
        <v>930750</v>
      </c>
      <c r="M10" s="118">
        <f>+'3.8 ABC'!AG11</f>
        <v>930750</v>
      </c>
    </row>
    <row r="11" spans="2:14" ht="13.5" customHeight="1" x14ac:dyDescent="0.3">
      <c r="B11" s="321"/>
      <c r="C11" s="87" t="s">
        <v>501</v>
      </c>
      <c r="D11" s="85" t="s">
        <v>568</v>
      </c>
      <c r="E11" s="85" t="s">
        <v>620</v>
      </c>
      <c r="F11" s="36">
        <v>0</v>
      </c>
      <c r="G11" s="36">
        <v>0</v>
      </c>
      <c r="H11" s="36">
        <v>0</v>
      </c>
      <c r="I11" s="36">
        <v>0</v>
      </c>
      <c r="J11" s="119">
        <f>+J8*J10</f>
        <v>1390125</v>
      </c>
      <c r="K11" s="119">
        <f t="shared" ref="K11:M11" si="1">+K8*K10</f>
        <v>1396125</v>
      </c>
      <c r="L11" s="119">
        <f t="shared" si="1"/>
        <v>1396125</v>
      </c>
      <c r="M11" s="119">
        <f t="shared" si="1"/>
        <v>1396125</v>
      </c>
    </row>
    <row r="12" spans="2:14" ht="13.5" customHeight="1" x14ac:dyDescent="0.3">
      <c r="B12" s="321"/>
      <c r="C12" s="55" t="s">
        <v>207</v>
      </c>
      <c r="D12" s="51" t="s">
        <v>208</v>
      </c>
      <c r="E12" s="51" t="s">
        <v>486</v>
      </c>
      <c r="F12" s="36">
        <v>0</v>
      </c>
      <c r="G12" s="36">
        <v>0</v>
      </c>
      <c r="H12" s="36">
        <v>0</v>
      </c>
      <c r="I12" s="36">
        <v>0</v>
      </c>
      <c r="J12" s="118">
        <f>+IF('3.8 ABC'!N20&gt;0,'3.8 ABC'!N20,0)</f>
        <v>0</v>
      </c>
      <c r="K12" s="118">
        <f>+IF('3.8 ABC'!U20&gt;0,'3.8 ABC'!U20,0)</f>
        <v>0</v>
      </c>
      <c r="L12" s="118">
        <f>+IF('3.8 ABC'!AB20&gt;0,'3.8 ABC'!AB20,0)</f>
        <v>0</v>
      </c>
      <c r="M12" s="118">
        <f>+IF('3.8 ABC'!AG20&gt;0,'3.8 ABC'!AG20,0)</f>
        <v>0</v>
      </c>
    </row>
    <row r="13" spans="2:14" ht="13.5" customHeight="1" x14ac:dyDescent="0.3">
      <c r="B13" s="321"/>
      <c r="C13" s="55" t="s">
        <v>209</v>
      </c>
      <c r="D13" s="51" t="s">
        <v>210</v>
      </c>
      <c r="E13" s="51" t="s">
        <v>486</v>
      </c>
      <c r="F13" s="36">
        <v>0</v>
      </c>
      <c r="G13" s="36">
        <v>0</v>
      </c>
      <c r="H13" s="36">
        <v>0</v>
      </c>
      <c r="I13" s="36">
        <v>0</v>
      </c>
      <c r="J13" s="118">
        <f>+IF('3.8 ABC'!N21&gt;0,'3.8 ABC'!N21,0)</f>
        <v>0</v>
      </c>
      <c r="K13" s="118">
        <f>+IF('3.8 ABC'!U21&gt;0,'3.8 ABC'!U21,0)</f>
        <v>0</v>
      </c>
      <c r="L13" s="118">
        <f>+IF('3.8 ABC'!AB21&gt;0,'3.8 ABC'!AB21,0)</f>
        <v>0</v>
      </c>
      <c r="M13" s="118">
        <f>+IF('3.8 ABC'!AG21&gt;0,'3.8 ABC'!AG21,0)</f>
        <v>0</v>
      </c>
    </row>
    <row r="14" spans="2:14" ht="13.5" customHeight="1" x14ac:dyDescent="0.3">
      <c r="B14" s="321"/>
      <c r="C14" s="55" t="s">
        <v>211</v>
      </c>
      <c r="D14" s="51" t="s">
        <v>212</v>
      </c>
      <c r="E14" s="51" t="s">
        <v>486</v>
      </c>
      <c r="F14" s="36">
        <v>0</v>
      </c>
      <c r="G14" s="36">
        <v>0</v>
      </c>
      <c r="H14" s="36">
        <v>0</v>
      </c>
      <c r="I14" s="36">
        <v>0</v>
      </c>
      <c r="J14" s="118">
        <f>+IF('3.8 ABC'!N22&gt;0,'3.8 ABC'!N22,0)</f>
        <v>0</v>
      </c>
      <c r="K14" s="118">
        <f>+IF('3.8 ABC'!U22&gt;0,'3.8 ABC'!U22,0)</f>
        <v>0</v>
      </c>
      <c r="L14" s="118">
        <f>+IF('3.8 ABC'!AB22&gt;0,'3.8 ABC'!AB22,0)</f>
        <v>0</v>
      </c>
      <c r="M14" s="118">
        <f>+IF('3.8 ABC'!AG22&gt;0,'3.8 ABC'!AG22,0)</f>
        <v>0</v>
      </c>
    </row>
    <row r="15" spans="2:14" ht="13.5" customHeight="1" x14ac:dyDescent="0.3">
      <c r="B15" s="321"/>
      <c r="C15" s="55" t="s">
        <v>213</v>
      </c>
      <c r="D15" s="51" t="s">
        <v>214</v>
      </c>
      <c r="E15" s="51" t="s">
        <v>486</v>
      </c>
      <c r="F15" s="36">
        <v>0</v>
      </c>
      <c r="G15" s="36">
        <v>0</v>
      </c>
      <c r="H15" s="36">
        <v>0</v>
      </c>
      <c r="I15" s="36">
        <v>0</v>
      </c>
      <c r="J15" s="118">
        <f>+IF('3.8 ABC'!N23&gt;0,'3.8 ABC'!N23,0)</f>
        <v>7193787.5520000001</v>
      </c>
      <c r="K15" s="118">
        <f>+IF('3.8 ABC'!U23&gt;0,'3.8 ABC'!U23,0)</f>
        <v>7193787.5520000001</v>
      </c>
      <c r="L15" s="118">
        <f>+IF('3.8 ABC'!AB23&gt;0,'3.8 ABC'!AB23,0)</f>
        <v>7193787.5520000001</v>
      </c>
      <c r="M15" s="118">
        <f>+IF('3.8 ABC'!AG23&gt;0,'3.8 ABC'!AG23,0)</f>
        <v>7193787.5520000001</v>
      </c>
    </row>
    <row r="16" spans="2:14" ht="13.5" customHeight="1" x14ac:dyDescent="0.3">
      <c r="B16" s="321"/>
      <c r="C16" s="55" t="s">
        <v>215</v>
      </c>
      <c r="D16" s="51" t="s">
        <v>216</v>
      </c>
      <c r="E16" s="51" t="s">
        <v>486</v>
      </c>
      <c r="F16" s="36">
        <v>0</v>
      </c>
      <c r="G16" s="36">
        <v>0</v>
      </c>
      <c r="H16" s="36">
        <v>0</v>
      </c>
      <c r="I16" s="36">
        <v>0</v>
      </c>
      <c r="J16" s="118">
        <f>+IF('3.8 ABC'!N24&gt;0,'3.8 ABC'!N24,0)</f>
        <v>0</v>
      </c>
      <c r="K16" s="118">
        <f>+IF('3.8 ABC'!U24&gt;0,'3.8 ABC'!U24,0)</f>
        <v>0</v>
      </c>
      <c r="L16" s="118">
        <f>+IF('3.8 ABC'!AB24&gt;0,'3.8 ABC'!AB24,0)</f>
        <v>0</v>
      </c>
      <c r="M16" s="118">
        <f>+IF('3.8 ABC'!AG24&gt;0,'3.8 ABC'!AG24,0)</f>
        <v>0</v>
      </c>
    </row>
    <row r="17" spans="2:13" ht="13.5" customHeight="1" x14ac:dyDescent="0.3">
      <c r="B17" s="321"/>
      <c r="C17" s="55" t="s">
        <v>221</v>
      </c>
      <c r="D17" s="51" t="s">
        <v>222</v>
      </c>
      <c r="E17" s="51" t="s">
        <v>616</v>
      </c>
      <c r="F17" s="105">
        <f>+'3.8 ABC'!F28</f>
        <v>0</v>
      </c>
      <c r="G17" s="105">
        <f>+$F17</f>
        <v>0</v>
      </c>
      <c r="H17" s="105">
        <f t="shared" ref="H17:M17" si="2">+$F17</f>
        <v>0</v>
      </c>
      <c r="I17" s="105">
        <f t="shared" si="2"/>
        <v>0</v>
      </c>
      <c r="J17" s="105">
        <f t="shared" si="2"/>
        <v>0</v>
      </c>
      <c r="K17" s="105">
        <f t="shared" si="2"/>
        <v>0</v>
      </c>
      <c r="L17" s="105">
        <f t="shared" si="2"/>
        <v>0</v>
      </c>
      <c r="M17" s="105">
        <f t="shared" si="2"/>
        <v>0</v>
      </c>
    </row>
    <row r="18" spans="2:13" ht="13.5" customHeight="1" x14ac:dyDescent="0.3">
      <c r="B18" s="321"/>
      <c r="C18" s="55" t="s">
        <v>223</v>
      </c>
      <c r="D18" s="51" t="s">
        <v>224</v>
      </c>
      <c r="E18" s="51" t="s">
        <v>616</v>
      </c>
      <c r="F18" s="105">
        <f>+'3.8 ABC'!F29</f>
        <v>0</v>
      </c>
      <c r="G18" s="105">
        <f t="shared" ref="G18:M21" si="3">+$F18</f>
        <v>0</v>
      </c>
      <c r="H18" s="105">
        <f t="shared" si="3"/>
        <v>0</v>
      </c>
      <c r="I18" s="105">
        <f t="shared" si="3"/>
        <v>0</v>
      </c>
      <c r="J18" s="105">
        <f t="shared" si="3"/>
        <v>0</v>
      </c>
      <c r="K18" s="105">
        <f t="shared" si="3"/>
        <v>0</v>
      </c>
      <c r="L18" s="105">
        <f t="shared" si="3"/>
        <v>0</v>
      </c>
      <c r="M18" s="105">
        <f t="shared" si="3"/>
        <v>0</v>
      </c>
    </row>
    <row r="19" spans="2:13" ht="13.5" customHeight="1" x14ac:dyDescent="0.3">
      <c r="B19" s="321"/>
      <c r="C19" s="55" t="s">
        <v>225</v>
      </c>
      <c r="D19" s="51" t="s">
        <v>226</v>
      </c>
      <c r="E19" s="51" t="s">
        <v>616</v>
      </c>
      <c r="F19" s="105">
        <f>+'3.8 ABC'!F30</f>
        <v>0</v>
      </c>
      <c r="G19" s="105">
        <f>+$F19</f>
        <v>0</v>
      </c>
      <c r="H19" s="105">
        <f t="shared" si="3"/>
        <v>0</v>
      </c>
      <c r="I19" s="105">
        <f t="shared" si="3"/>
        <v>0</v>
      </c>
      <c r="J19" s="105">
        <f t="shared" si="3"/>
        <v>0</v>
      </c>
      <c r="K19" s="105">
        <f t="shared" si="3"/>
        <v>0</v>
      </c>
      <c r="L19" s="105">
        <f t="shared" si="3"/>
        <v>0</v>
      </c>
      <c r="M19" s="105">
        <f t="shared" si="3"/>
        <v>0</v>
      </c>
    </row>
    <row r="20" spans="2:13" ht="13.5" customHeight="1" x14ac:dyDescent="0.3">
      <c r="B20" s="321"/>
      <c r="C20" s="55" t="s">
        <v>227</v>
      </c>
      <c r="D20" s="51" t="s">
        <v>228</v>
      </c>
      <c r="E20" s="51" t="s">
        <v>616</v>
      </c>
      <c r="F20" s="105">
        <f>+'3.8 ABC'!F31</f>
        <v>0</v>
      </c>
      <c r="G20" s="105">
        <f>+$F20</f>
        <v>0</v>
      </c>
      <c r="H20" s="105">
        <f t="shared" si="3"/>
        <v>0</v>
      </c>
      <c r="I20" s="105">
        <f t="shared" si="3"/>
        <v>0</v>
      </c>
      <c r="J20" s="105">
        <f>'3.7 Costi d''Esercizio'!L24</f>
        <v>0.55158070219536759</v>
      </c>
      <c r="K20" s="105">
        <f>J20</f>
        <v>0.55158070219536759</v>
      </c>
      <c r="L20" s="105">
        <f t="shared" ref="L20:M20" si="4">K20</f>
        <v>0.55158070219536759</v>
      </c>
      <c r="M20" s="105">
        <f t="shared" si="4"/>
        <v>0.55158070219536759</v>
      </c>
    </row>
    <row r="21" spans="2:13" ht="13.5" customHeight="1" x14ac:dyDescent="0.3">
      <c r="B21" s="321"/>
      <c r="C21" s="55" t="s">
        <v>229</v>
      </c>
      <c r="D21" s="51" t="s">
        <v>230</v>
      </c>
      <c r="E21" s="51" t="s">
        <v>616</v>
      </c>
      <c r="F21" s="105">
        <f>+'3.8 ABC'!F32</f>
        <v>3.84</v>
      </c>
      <c r="G21" s="105">
        <f>+$F21</f>
        <v>3.84</v>
      </c>
      <c r="H21" s="105">
        <f t="shared" si="3"/>
        <v>3.84</v>
      </c>
      <c r="I21" s="105">
        <f t="shared" si="3"/>
        <v>3.84</v>
      </c>
      <c r="J21" s="105">
        <f t="shared" si="3"/>
        <v>3.84</v>
      </c>
      <c r="K21" s="105">
        <f t="shared" si="3"/>
        <v>3.84</v>
      </c>
      <c r="L21" s="105">
        <f t="shared" si="3"/>
        <v>3.84</v>
      </c>
      <c r="M21" s="105">
        <f t="shared" si="3"/>
        <v>3.84</v>
      </c>
    </row>
    <row r="22" spans="2:13" ht="13.5" customHeight="1" x14ac:dyDescent="0.3">
      <c r="B22" s="322"/>
      <c r="C22" s="87" t="s">
        <v>565</v>
      </c>
      <c r="D22" s="85" t="s">
        <v>500</v>
      </c>
      <c r="E22" s="85" t="s">
        <v>620</v>
      </c>
      <c r="F22" s="36">
        <v>0</v>
      </c>
      <c r="G22" s="36">
        <v>0</v>
      </c>
      <c r="H22" s="36">
        <v>0</v>
      </c>
      <c r="I22" s="36">
        <v>0</v>
      </c>
      <c r="J22" s="109">
        <f t="shared" ref="J22:M22" si="5">SUMPRODUCT(J12:J16,J17:J21)</f>
        <v>3967954.3893764545</v>
      </c>
      <c r="K22" s="109">
        <f t="shared" si="5"/>
        <v>3967954.3893764545</v>
      </c>
      <c r="L22" s="109">
        <f t="shared" si="5"/>
        <v>3967954.3893764545</v>
      </c>
      <c r="M22" s="109">
        <f t="shared" si="5"/>
        <v>3967954.3893764545</v>
      </c>
    </row>
    <row r="23" spans="2:13" ht="4.5" customHeight="1" x14ac:dyDescent="0.3">
      <c r="G23" s="82"/>
      <c r="H23" s="82"/>
      <c r="I23" s="82"/>
      <c r="J23" s="82"/>
    </row>
    <row r="24" spans="2:13" ht="13.5" customHeight="1" x14ac:dyDescent="0.3">
      <c r="B24" s="320" t="s">
        <v>567</v>
      </c>
      <c r="C24" s="86" t="s">
        <v>488</v>
      </c>
      <c r="D24" s="84" t="s">
        <v>495</v>
      </c>
      <c r="E24" s="51" t="s">
        <v>597</v>
      </c>
      <c r="F24" s="36">
        <v>0</v>
      </c>
      <c r="G24" s="36">
        <v>0</v>
      </c>
      <c r="H24" s="36">
        <v>0</v>
      </c>
      <c r="I24" s="36">
        <v>0</v>
      </c>
      <c r="J24" s="118">
        <f>+'3.8 ABC'!N8</f>
        <v>180000</v>
      </c>
      <c r="K24" s="118">
        <f>+'3.8 ABC'!U8</f>
        <v>180000</v>
      </c>
      <c r="L24" s="118">
        <f>+'3.8 ABC'!AB8</f>
        <v>180000</v>
      </c>
      <c r="M24" s="118">
        <f>+'3.8 ABC'!AG8</f>
        <v>180000</v>
      </c>
    </row>
    <row r="25" spans="2:13" ht="13.5" customHeight="1" x14ac:dyDescent="0.3">
      <c r="B25" s="321"/>
      <c r="C25" s="87" t="s">
        <v>496</v>
      </c>
      <c r="D25" s="85" t="s">
        <v>504</v>
      </c>
      <c r="E25" s="85" t="s">
        <v>620</v>
      </c>
      <c r="F25" s="36">
        <v>0</v>
      </c>
      <c r="G25" s="36">
        <v>0</v>
      </c>
      <c r="H25" s="36">
        <v>0</v>
      </c>
      <c r="I25" s="36">
        <v>0</v>
      </c>
      <c r="J25" s="119">
        <f t="shared" ref="J25:M25" si="6">+J8*J24</f>
        <v>270000</v>
      </c>
      <c r="K25" s="119">
        <f t="shared" si="6"/>
        <v>270000</v>
      </c>
      <c r="L25" s="119">
        <f t="shared" si="6"/>
        <v>270000</v>
      </c>
      <c r="M25" s="119">
        <f t="shared" si="6"/>
        <v>270000</v>
      </c>
    </row>
    <row r="26" spans="2:13" ht="13.5" customHeight="1" x14ac:dyDescent="0.3">
      <c r="B26" s="321"/>
      <c r="C26" s="55" t="s">
        <v>207</v>
      </c>
      <c r="D26" s="51" t="s">
        <v>208</v>
      </c>
      <c r="E26" s="51" t="s">
        <v>486</v>
      </c>
      <c r="F26" s="36">
        <v>0</v>
      </c>
      <c r="G26" s="36">
        <v>0</v>
      </c>
      <c r="H26" s="36">
        <v>0</v>
      </c>
      <c r="I26" s="36">
        <v>0</v>
      </c>
      <c r="J26" s="118">
        <f>+IF('3.8 ABC'!N20&lt;0,'3.8 ABC'!N20,0)</f>
        <v>0</v>
      </c>
      <c r="K26" s="118">
        <f>+IF('3.8 ABC'!U20&lt;0,'3.8 ABC'!U20,0)</f>
        <v>0</v>
      </c>
      <c r="L26" s="118">
        <f>+IF('3.8 ABC'!AB20&lt;0,'3.8 ABC'!AB20,0)</f>
        <v>0</v>
      </c>
      <c r="M26" s="118">
        <f>+IF('3.8 ABC'!AG20&lt;0,'3.8 ABC'!AG20,0)</f>
        <v>0</v>
      </c>
    </row>
    <row r="27" spans="2:13" ht="13.5" customHeight="1" x14ac:dyDescent="0.3">
      <c r="B27" s="321"/>
      <c r="C27" s="55" t="s">
        <v>209</v>
      </c>
      <c r="D27" s="51" t="s">
        <v>210</v>
      </c>
      <c r="E27" s="51" t="s">
        <v>486</v>
      </c>
      <c r="F27" s="36">
        <v>0</v>
      </c>
      <c r="G27" s="36">
        <v>0</v>
      </c>
      <c r="H27" s="36">
        <v>0</v>
      </c>
      <c r="I27" s="36">
        <v>0</v>
      </c>
      <c r="J27" s="118">
        <f>+IF('3.8 ABC'!N21&lt;0,'3.8 ABC'!N21,0)</f>
        <v>0</v>
      </c>
      <c r="K27" s="118">
        <f>+IF('3.8 ABC'!U21&lt;0,'3.8 ABC'!U21,0)</f>
        <v>0</v>
      </c>
      <c r="L27" s="118">
        <f>+IF('3.8 ABC'!AB21&lt;0,'3.8 ABC'!AB21,0)</f>
        <v>0</v>
      </c>
      <c r="M27" s="118">
        <f>+IF('3.8 ABC'!AG21&lt;0,'3.8 ABC'!AG21,0)</f>
        <v>0</v>
      </c>
    </row>
    <row r="28" spans="2:13" ht="13.5" customHeight="1" x14ac:dyDescent="0.3">
      <c r="B28" s="321"/>
      <c r="C28" s="55" t="s">
        <v>211</v>
      </c>
      <c r="D28" s="51" t="s">
        <v>212</v>
      </c>
      <c r="E28" s="51" t="s">
        <v>486</v>
      </c>
      <c r="F28" s="36">
        <v>0</v>
      </c>
      <c r="G28" s="36">
        <v>0</v>
      </c>
      <c r="H28" s="36">
        <v>0</v>
      </c>
      <c r="I28" s="36">
        <v>0</v>
      </c>
      <c r="J28" s="118">
        <f>+IF('3.8 ABC'!N22&lt;0,'3.8 ABC'!N22,0)</f>
        <v>0</v>
      </c>
      <c r="K28" s="118">
        <f>+IF('3.8 ABC'!U22&lt;0,'3.8 ABC'!U22,0)</f>
        <v>0</v>
      </c>
      <c r="L28" s="118">
        <f>+IF('3.8 ABC'!AB22&lt;0,'3.8 ABC'!AB22,0)</f>
        <v>0</v>
      </c>
      <c r="M28" s="118">
        <f>+IF('3.8 ABC'!AG22&lt;0,'3.8 ABC'!AG22,0)</f>
        <v>0</v>
      </c>
    </row>
    <row r="29" spans="2:13" ht="13.5" customHeight="1" x14ac:dyDescent="0.3">
      <c r="B29" s="321"/>
      <c r="C29" s="55" t="s">
        <v>213</v>
      </c>
      <c r="D29" s="51" t="s">
        <v>214</v>
      </c>
      <c r="E29" s="51" t="s">
        <v>486</v>
      </c>
      <c r="F29" s="36">
        <v>0</v>
      </c>
      <c r="G29" s="36">
        <v>0</v>
      </c>
      <c r="H29" s="36">
        <v>0</v>
      </c>
      <c r="I29" s="36">
        <v>0</v>
      </c>
      <c r="J29" s="118">
        <f>+IF('3.8 ABC'!N23&lt;0,'3.8 ABC'!N23,0)</f>
        <v>0</v>
      </c>
      <c r="K29" s="118">
        <f>+IF('3.8 ABC'!U23&lt;0,'3.8 ABC'!U23,0)</f>
        <v>0</v>
      </c>
      <c r="L29" s="118">
        <f>+IF('3.8 ABC'!AB23&lt;0,'3.8 ABC'!AB23,0)</f>
        <v>0</v>
      </c>
      <c r="M29" s="118">
        <f>+IF('3.8 ABC'!AG23&lt;0,'3.8 ABC'!AG23,0)</f>
        <v>0</v>
      </c>
    </row>
    <row r="30" spans="2:13" ht="13.5" customHeight="1" x14ac:dyDescent="0.3">
      <c r="B30" s="321"/>
      <c r="C30" s="55" t="s">
        <v>215</v>
      </c>
      <c r="D30" s="51" t="s">
        <v>216</v>
      </c>
      <c r="E30" s="51" t="s">
        <v>486</v>
      </c>
      <c r="F30" s="36">
        <v>0</v>
      </c>
      <c r="G30" s="36">
        <v>0</v>
      </c>
      <c r="H30" s="36">
        <v>0</v>
      </c>
      <c r="I30" s="36">
        <v>0</v>
      </c>
      <c r="J30" s="118">
        <f>+IF('3.8 ABC'!N24&lt;0,'3.8 ABC'!N24,0)</f>
        <v>-93784.8</v>
      </c>
      <c r="K30" s="118">
        <f>+IF('3.8 ABC'!U24&lt;0,'3.8 ABC'!U24,0)</f>
        <v>-93784.8</v>
      </c>
      <c r="L30" s="118">
        <f>+IF('3.8 ABC'!AB24&lt;0,'3.8 ABC'!AB24,0)</f>
        <v>-93784.8</v>
      </c>
      <c r="M30" s="118">
        <f>+IF('3.8 ABC'!AG24&lt;0,'3.8 ABC'!AG24,0)</f>
        <v>-93784.8</v>
      </c>
    </row>
    <row r="31" spans="2:13" ht="13.5" customHeight="1" x14ac:dyDescent="0.3">
      <c r="B31" s="321"/>
      <c r="C31" s="55" t="s">
        <v>221</v>
      </c>
      <c r="D31" s="51" t="s">
        <v>222</v>
      </c>
      <c r="E31" s="51" t="s">
        <v>616</v>
      </c>
      <c r="F31" s="118">
        <f>+'3.8 ABC'!F28</f>
        <v>0</v>
      </c>
      <c r="G31" s="105">
        <f>+$F31</f>
        <v>0</v>
      </c>
      <c r="H31" s="105">
        <f>+$F31</f>
        <v>0</v>
      </c>
      <c r="I31" s="105">
        <f t="shared" ref="I31:M31" si="7">+$F31</f>
        <v>0</v>
      </c>
      <c r="J31" s="105">
        <f t="shared" si="7"/>
        <v>0</v>
      </c>
      <c r="K31" s="105">
        <f t="shared" si="7"/>
        <v>0</v>
      </c>
      <c r="L31" s="105">
        <f t="shared" si="7"/>
        <v>0</v>
      </c>
      <c r="M31" s="105">
        <f t="shared" si="7"/>
        <v>0</v>
      </c>
    </row>
    <row r="32" spans="2:13" ht="13.5" customHeight="1" x14ac:dyDescent="0.3">
      <c r="B32" s="321"/>
      <c r="C32" s="55" t="s">
        <v>223</v>
      </c>
      <c r="D32" s="51" t="s">
        <v>224</v>
      </c>
      <c r="E32" s="51" t="s">
        <v>616</v>
      </c>
      <c r="F32" s="118">
        <f>+'3.8 ABC'!F29</f>
        <v>0</v>
      </c>
      <c r="G32" s="105">
        <f t="shared" ref="G32:M35" si="8">+$F32</f>
        <v>0</v>
      </c>
      <c r="H32" s="105">
        <f t="shared" si="8"/>
        <v>0</v>
      </c>
      <c r="I32" s="105">
        <f t="shared" si="8"/>
        <v>0</v>
      </c>
      <c r="J32" s="105">
        <f t="shared" si="8"/>
        <v>0</v>
      </c>
      <c r="K32" s="105">
        <f t="shared" si="8"/>
        <v>0</v>
      </c>
      <c r="L32" s="105">
        <f t="shared" si="8"/>
        <v>0</v>
      </c>
      <c r="M32" s="105">
        <f t="shared" si="8"/>
        <v>0</v>
      </c>
    </row>
    <row r="33" spans="2:13" ht="13.5" customHeight="1" x14ac:dyDescent="0.3">
      <c r="B33" s="321"/>
      <c r="C33" s="55" t="s">
        <v>225</v>
      </c>
      <c r="D33" s="51" t="s">
        <v>226</v>
      </c>
      <c r="E33" s="51" t="s">
        <v>616</v>
      </c>
      <c r="F33" s="118">
        <f>+'3.8 ABC'!F30</f>
        <v>0</v>
      </c>
      <c r="G33" s="105">
        <f>+$F33</f>
        <v>0</v>
      </c>
      <c r="H33" s="105">
        <f t="shared" si="8"/>
        <v>0</v>
      </c>
      <c r="I33" s="105">
        <f t="shared" si="8"/>
        <v>0</v>
      </c>
      <c r="J33" s="105">
        <f t="shared" si="8"/>
        <v>0</v>
      </c>
      <c r="K33" s="105">
        <f t="shared" si="8"/>
        <v>0</v>
      </c>
      <c r="L33" s="105">
        <f t="shared" si="8"/>
        <v>0</v>
      </c>
      <c r="M33" s="105">
        <f t="shared" si="8"/>
        <v>0</v>
      </c>
    </row>
    <row r="34" spans="2:13" ht="13.5" customHeight="1" x14ac:dyDescent="0.3">
      <c r="B34" s="321"/>
      <c r="C34" s="55" t="s">
        <v>227</v>
      </c>
      <c r="D34" s="51" t="s">
        <v>228</v>
      </c>
      <c r="E34" s="51" t="s">
        <v>616</v>
      </c>
      <c r="F34" s="118">
        <f>+'3.8 ABC'!F31</f>
        <v>0</v>
      </c>
      <c r="G34" s="105">
        <f>+$F34</f>
        <v>0</v>
      </c>
      <c r="H34" s="105">
        <f t="shared" si="8"/>
        <v>0</v>
      </c>
      <c r="I34" s="105">
        <f t="shared" si="8"/>
        <v>0</v>
      </c>
      <c r="J34" s="105">
        <f t="shared" si="8"/>
        <v>0</v>
      </c>
      <c r="K34" s="105">
        <f t="shared" si="8"/>
        <v>0</v>
      </c>
      <c r="L34" s="105">
        <f t="shared" si="8"/>
        <v>0</v>
      </c>
      <c r="M34" s="105">
        <f t="shared" si="8"/>
        <v>0</v>
      </c>
    </row>
    <row r="35" spans="2:13" ht="13.5" customHeight="1" x14ac:dyDescent="0.3">
      <c r="B35" s="321"/>
      <c r="C35" s="55" t="s">
        <v>229</v>
      </c>
      <c r="D35" s="51" t="s">
        <v>230</v>
      </c>
      <c r="E35" s="51" t="s">
        <v>616</v>
      </c>
      <c r="F35" s="118">
        <f>+'3.8 ABC'!F32</f>
        <v>3.84</v>
      </c>
      <c r="G35" s="105">
        <f>+$F35</f>
        <v>3.84</v>
      </c>
      <c r="H35" s="105">
        <f t="shared" si="8"/>
        <v>3.84</v>
      </c>
      <c r="I35" s="105">
        <f t="shared" si="8"/>
        <v>3.84</v>
      </c>
      <c r="J35" s="105">
        <f t="shared" si="8"/>
        <v>3.84</v>
      </c>
      <c r="K35" s="105">
        <f t="shared" si="8"/>
        <v>3.84</v>
      </c>
      <c r="L35" s="105">
        <f t="shared" si="8"/>
        <v>3.84</v>
      </c>
      <c r="M35" s="105">
        <f t="shared" si="8"/>
        <v>3.84</v>
      </c>
    </row>
    <row r="36" spans="2:13" ht="13.5" customHeight="1" x14ac:dyDescent="0.3">
      <c r="B36" s="322"/>
      <c r="C36" s="87" t="s">
        <v>570</v>
      </c>
      <c r="D36" s="85" t="s">
        <v>503</v>
      </c>
      <c r="E36" s="85" t="s">
        <v>620</v>
      </c>
      <c r="F36" s="36">
        <v>0</v>
      </c>
      <c r="G36" s="36">
        <v>0</v>
      </c>
      <c r="H36" s="36">
        <v>0</v>
      </c>
      <c r="I36" s="36">
        <v>0</v>
      </c>
      <c r="J36" s="109">
        <f>+SUMPRODUCT(J26:J30,J31:J35)</f>
        <v>-360133.63199999998</v>
      </c>
      <c r="K36" s="109">
        <f t="shared" ref="K36:M36" si="9">+SUMPRODUCT(K26:K30,K31:K35)</f>
        <v>-360133.63199999998</v>
      </c>
      <c r="L36" s="109">
        <f t="shared" si="9"/>
        <v>-360133.63199999998</v>
      </c>
      <c r="M36" s="109">
        <f t="shared" si="9"/>
        <v>-360133.63199999998</v>
      </c>
    </row>
    <row r="37" spans="2:13" ht="4.5" customHeight="1" x14ac:dyDescent="0.3">
      <c r="G37" s="82"/>
      <c r="H37" s="82"/>
      <c r="I37" s="82"/>
      <c r="J37" s="82"/>
    </row>
    <row r="38" spans="2:13" ht="13.5" customHeight="1" x14ac:dyDescent="0.3">
      <c r="B38" s="320" t="s">
        <v>569</v>
      </c>
      <c r="C38" s="87" t="s">
        <v>497</v>
      </c>
      <c r="D38" s="85" t="s">
        <v>499</v>
      </c>
      <c r="E38" s="85" t="s">
        <v>620</v>
      </c>
      <c r="F38" s="36">
        <v>0</v>
      </c>
      <c r="G38" s="36">
        <v>0</v>
      </c>
      <c r="H38" s="36">
        <v>0</v>
      </c>
      <c r="I38" s="36">
        <v>0</v>
      </c>
      <c r="J38" s="120">
        <f>+J11-J25</f>
        <v>1120125</v>
      </c>
      <c r="K38" s="120">
        <f t="shared" ref="K38:M38" si="10">+K11-K25</f>
        <v>1126125</v>
      </c>
      <c r="L38" s="120">
        <f t="shared" si="10"/>
        <v>1126125</v>
      </c>
      <c r="M38" s="120">
        <f t="shared" si="10"/>
        <v>1126125</v>
      </c>
    </row>
    <row r="39" spans="2:13" ht="13.5" customHeight="1" x14ac:dyDescent="0.3">
      <c r="B39" s="322"/>
      <c r="C39" s="87" t="s">
        <v>498</v>
      </c>
      <c r="D39" s="85" t="s">
        <v>502</v>
      </c>
      <c r="E39" s="85" t="s">
        <v>620</v>
      </c>
      <c r="F39" s="36">
        <v>0</v>
      </c>
      <c r="G39" s="36">
        <v>0</v>
      </c>
      <c r="H39" s="36">
        <v>0</v>
      </c>
      <c r="I39" s="36">
        <v>0</v>
      </c>
      <c r="J39" s="120">
        <f>+J22-J36</f>
        <v>4328088.0213764543</v>
      </c>
      <c r="K39" s="120">
        <f t="shared" ref="K39:M39" si="11">+K22-K36</f>
        <v>4328088.0213764543</v>
      </c>
      <c r="L39" s="120">
        <f t="shared" si="11"/>
        <v>4328088.0213764543</v>
      </c>
      <c r="M39" s="120">
        <f t="shared" si="11"/>
        <v>4328088.0213764543</v>
      </c>
    </row>
    <row r="40" spans="2:13" ht="4.5" customHeight="1" x14ac:dyDescent="0.3">
      <c r="G40" s="82"/>
      <c r="H40" s="82"/>
      <c r="I40" s="82"/>
      <c r="J40" s="82"/>
      <c r="K40" s="82"/>
      <c r="L40" s="82"/>
      <c r="M40" s="82"/>
    </row>
    <row r="41" spans="2:13" ht="13.5" customHeight="1" x14ac:dyDescent="0.3">
      <c r="B41" s="320" t="s">
        <v>463</v>
      </c>
      <c r="C41" s="87" t="s">
        <v>489</v>
      </c>
      <c r="D41" s="85" t="s">
        <v>505</v>
      </c>
      <c r="E41" s="85" t="s">
        <v>620</v>
      </c>
      <c r="F41" s="36">
        <v>0</v>
      </c>
      <c r="G41" s="36">
        <v>0</v>
      </c>
      <c r="H41" s="36">
        <v>0</v>
      </c>
      <c r="I41" s="36">
        <v>0</v>
      </c>
      <c r="J41" s="120">
        <f>+J11-J22</f>
        <v>-2577829.3893764545</v>
      </c>
      <c r="K41" s="120">
        <f t="shared" ref="K41:M41" si="12">+K11-K22</f>
        <v>-2571829.3893764545</v>
      </c>
      <c r="L41" s="120">
        <f t="shared" si="12"/>
        <v>-2571829.3893764545</v>
      </c>
      <c r="M41" s="120">
        <f t="shared" si="12"/>
        <v>-2571829.3893764545</v>
      </c>
    </row>
    <row r="42" spans="2:13" ht="13.5" customHeight="1" x14ac:dyDescent="0.3">
      <c r="B42" s="321"/>
      <c r="C42" s="87" t="s">
        <v>490</v>
      </c>
      <c r="D42" s="85" t="s">
        <v>508</v>
      </c>
      <c r="E42" s="85" t="s">
        <v>23</v>
      </c>
      <c r="F42" s="36">
        <v>0</v>
      </c>
      <c r="G42" s="36">
        <v>0</v>
      </c>
      <c r="H42" s="36">
        <v>0</v>
      </c>
      <c r="I42" s="36">
        <v>0</v>
      </c>
      <c r="J42" s="110">
        <f t="shared" ref="J42:M42" si="13">+J11/J22</f>
        <v>0.35033794837002946</v>
      </c>
      <c r="K42" s="110">
        <f t="shared" si="13"/>
        <v>0.3518500625253897</v>
      </c>
      <c r="L42" s="110">
        <f t="shared" si="13"/>
        <v>0.3518500625253897</v>
      </c>
      <c r="M42" s="110">
        <f t="shared" si="13"/>
        <v>0.3518500625253897</v>
      </c>
    </row>
    <row r="43" spans="2:13" ht="13.5" customHeight="1" x14ac:dyDescent="0.3">
      <c r="B43" s="321"/>
      <c r="C43" s="87" t="s">
        <v>491</v>
      </c>
      <c r="D43" s="85" t="s">
        <v>507</v>
      </c>
      <c r="E43" s="85" t="s">
        <v>620</v>
      </c>
      <c r="F43" s="36">
        <v>0</v>
      </c>
      <c r="G43" s="36">
        <v>0</v>
      </c>
      <c r="H43" s="36">
        <v>0</v>
      </c>
      <c r="I43" s="36">
        <v>0</v>
      </c>
      <c r="J43" s="120">
        <f t="shared" ref="J43:M43" si="14">+J25-J36</f>
        <v>630133.63199999998</v>
      </c>
      <c r="K43" s="120">
        <f t="shared" si="14"/>
        <v>630133.63199999998</v>
      </c>
      <c r="L43" s="120">
        <f t="shared" si="14"/>
        <v>630133.63199999998</v>
      </c>
      <c r="M43" s="120">
        <f t="shared" si="14"/>
        <v>630133.63199999998</v>
      </c>
    </row>
    <row r="44" spans="2:13" ht="13.5" customHeight="1" x14ac:dyDescent="0.3">
      <c r="B44" s="321"/>
      <c r="C44" s="87" t="s">
        <v>492</v>
      </c>
      <c r="D44" s="85" t="s">
        <v>519</v>
      </c>
      <c r="E44" s="85" t="s">
        <v>23</v>
      </c>
      <c r="F44" s="36">
        <v>0</v>
      </c>
      <c r="G44" s="36">
        <v>0</v>
      </c>
      <c r="H44" s="36">
        <v>0</v>
      </c>
      <c r="I44" s="36">
        <v>0</v>
      </c>
      <c r="J44" s="110">
        <f>+J25/J36</f>
        <v>-0.74972170330373367</v>
      </c>
      <c r="K44" s="110">
        <f t="shared" ref="K44:M44" si="15">+K25/K36</f>
        <v>-0.74972170330373367</v>
      </c>
      <c r="L44" s="110">
        <f t="shared" si="15"/>
        <v>-0.74972170330373367</v>
      </c>
      <c r="M44" s="110">
        <f t="shared" si="15"/>
        <v>-0.74972170330373367</v>
      </c>
    </row>
    <row r="45" spans="2:13" ht="13.5" customHeight="1" x14ac:dyDescent="0.3">
      <c r="B45" s="321"/>
      <c r="C45" s="87" t="s">
        <v>493</v>
      </c>
      <c r="D45" s="85" t="s">
        <v>506</v>
      </c>
      <c r="E45" s="85" t="s">
        <v>620</v>
      </c>
      <c r="F45" s="36">
        <v>0</v>
      </c>
      <c r="G45" s="36">
        <v>0</v>
      </c>
      <c r="H45" s="36">
        <v>0</v>
      </c>
      <c r="I45" s="36">
        <v>0</v>
      </c>
      <c r="J45" s="120">
        <f t="shared" ref="J45:M45" si="16">+J38-J39</f>
        <v>-3207963.0213764543</v>
      </c>
      <c r="K45" s="120">
        <f t="shared" si="16"/>
        <v>-3201963.0213764543</v>
      </c>
      <c r="L45" s="120">
        <f t="shared" si="16"/>
        <v>-3201963.0213764543</v>
      </c>
      <c r="M45" s="120">
        <f t="shared" si="16"/>
        <v>-3201963.0213764543</v>
      </c>
    </row>
    <row r="46" spans="2:13" ht="13.5" customHeight="1" x14ac:dyDescent="0.3">
      <c r="B46" s="322"/>
      <c r="C46" s="87" t="s">
        <v>494</v>
      </c>
      <c r="D46" s="85" t="s">
        <v>520</v>
      </c>
      <c r="E46" s="85" t="s">
        <v>23</v>
      </c>
      <c r="F46" s="36">
        <v>0</v>
      </c>
      <c r="G46" s="36">
        <v>0</v>
      </c>
      <c r="H46" s="36">
        <v>0</v>
      </c>
      <c r="I46" s="36">
        <v>0</v>
      </c>
      <c r="J46" s="110">
        <f t="shared" ref="J46:M46" si="17">+J38/J39</f>
        <v>0.25880365520934312</v>
      </c>
      <c r="K46" s="110">
        <f t="shared" si="17"/>
        <v>0.26018994864200112</v>
      </c>
      <c r="L46" s="110">
        <f t="shared" si="17"/>
        <v>0.26018994864200112</v>
      </c>
      <c r="M46" s="110">
        <f t="shared" si="17"/>
        <v>0.26018994864200112</v>
      </c>
    </row>
    <row r="47" spans="2:13" ht="4.5" customHeight="1" x14ac:dyDescent="0.3">
      <c r="G47" s="82"/>
      <c r="H47" s="82"/>
      <c r="I47" s="82"/>
      <c r="J47" s="82"/>
    </row>
    <row r="48" spans="2:13" s="83" customFormat="1" ht="17.25" customHeight="1" x14ac:dyDescent="0.3">
      <c r="B48" s="314" t="s">
        <v>598</v>
      </c>
      <c r="C48" s="317" t="s">
        <v>594</v>
      </c>
      <c r="D48" s="318"/>
      <c r="E48" s="318"/>
      <c r="F48" s="318"/>
      <c r="G48" s="318"/>
      <c r="H48" s="318"/>
      <c r="I48" s="319"/>
      <c r="J48" s="111" t="str">
        <f>+IF(J42&lt;0.35,"NO","SI")</f>
        <v>SI</v>
      </c>
      <c r="K48" s="111" t="str">
        <f t="shared" ref="K48:M48" si="18">+IF(K42&lt;0.35,"NO","SI")</f>
        <v>SI</v>
      </c>
      <c r="L48" s="111" t="str">
        <f t="shared" si="18"/>
        <v>SI</v>
      </c>
      <c r="M48" s="111" t="str">
        <f t="shared" si="18"/>
        <v>SI</v>
      </c>
    </row>
    <row r="49" spans="2:13" s="83" customFormat="1" ht="17.25" customHeight="1" x14ac:dyDescent="0.3">
      <c r="B49" s="315"/>
      <c r="C49" s="311" t="s">
        <v>571</v>
      </c>
      <c r="D49" s="312"/>
      <c r="E49" s="312"/>
      <c r="F49" s="312"/>
      <c r="G49" s="312"/>
      <c r="H49" s="312"/>
      <c r="I49" s="313"/>
      <c r="J49" s="122">
        <f>+IF(J45&gt;0,"X",0)</f>
        <v>0</v>
      </c>
      <c r="K49" s="122">
        <f t="shared" ref="K49:M49" si="19">+IF(K45&gt;0,"X",0)</f>
        <v>0</v>
      </c>
      <c r="L49" s="122">
        <f t="shared" si="19"/>
        <v>0</v>
      </c>
      <c r="M49" s="122">
        <f t="shared" si="19"/>
        <v>0</v>
      </c>
    </row>
    <row r="50" spans="2:13" s="83" customFormat="1" ht="17.25" customHeight="1" x14ac:dyDescent="0.3">
      <c r="B50" s="315"/>
      <c r="C50" s="311" t="s">
        <v>572</v>
      </c>
      <c r="D50" s="312"/>
      <c r="E50" s="312"/>
      <c r="F50" s="312"/>
      <c r="G50" s="312"/>
      <c r="H50" s="312"/>
      <c r="I50" s="313"/>
      <c r="J50" s="122">
        <f>+IF(J45&lt;0,(IF(J43&lt;0,"X",0)),0)</f>
        <v>0</v>
      </c>
      <c r="K50" s="122">
        <f t="shared" ref="K50:M50" si="20">+IF(K45&lt;0,(IF(K43&lt;0,"X",0)),0)</f>
        <v>0</v>
      </c>
      <c r="L50" s="122">
        <f t="shared" si="20"/>
        <v>0</v>
      </c>
      <c r="M50" s="122">
        <f t="shared" si="20"/>
        <v>0</v>
      </c>
    </row>
    <row r="51" spans="2:13" s="83" customFormat="1" ht="17.25" customHeight="1" x14ac:dyDescent="0.3">
      <c r="B51" s="316"/>
      <c r="C51" s="311" t="s">
        <v>595</v>
      </c>
      <c r="D51" s="312"/>
      <c r="E51" s="312"/>
      <c r="F51" s="312"/>
      <c r="G51" s="312"/>
      <c r="H51" s="312"/>
      <c r="I51" s="313"/>
      <c r="J51" s="122" t="str">
        <f>+IF(J45&lt;0,(IF(J43&gt;0,"X",0)),0)</f>
        <v>X</v>
      </c>
      <c r="K51" s="122" t="str">
        <f t="shared" ref="K51:M51" si="21">+IF(K45&lt;0,(IF(K43&gt;0,"X",0)),0)</f>
        <v>X</v>
      </c>
      <c r="L51" s="122" t="str">
        <f t="shared" si="21"/>
        <v>X</v>
      </c>
      <c r="M51" s="122" t="str">
        <f t="shared" si="21"/>
        <v>X</v>
      </c>
    </row>
    <row r="52" spans="2:13" ht="4.5" customHeight="1" x14ac:dyDescent="0.3">
      <c r="G52" s="82"/>
      <c r="H52" s="82"/>
      <c r="I52" s="82"/>
      <c r="J52" s="82"/>
    </row>
    <row r="53" spans="2:13" ht="15.75" customHeight="1" x14ac:dyDescent="0.3">
      <c r="B53" s="128" t="s">
        <v>587</v>
      </c>
      <c r="C53" s="131" t="s">
        <v>600</v>
      </c>
      <c r="D53" s="129"/>
      <c r="E53" s="129"/>
      <c r="F53" s="130"/>
      <c r="G53" s="130"/>
      <c r="H53" s="130"/>
      <c r="I53" s="130"/>
      <c r="J53" s="82"/>
    </row>
    <row r="54" spans="2:13" ht="15.75" customHeight="1" x14ac:dyDescent="0.3">
      <c r="B54" s="128" t="s">
        <v>599</v>
      </c>
      <c r="C54" s="257" t="s">
        <v>601</v>
      </c>
      <c r="D54" s="257"/>
      <c r="E54" s="257"/>
      <c r="F54" s="257"/>
      <c r="G54" s="257"/>
      <c r="H54" s="257"/>
      <c r="I54" s="257"/>
    </row>
    <row r="55" spans="2:13" x14ac:dyDescent="0.3">
      <c r="B55" s="128" t="s">
        <v>599</v>
      </c>
      <c r="C55" s="257" t="s">
        <v>607</v>
      </c>
      <c r="D55" s="257"/>
      <c r="E55" s="257"/>
      <c r="F55" s="257"/>
      <c r="G55" s="257"/>
      <c r="H55" s="257"/>
      <c r="I55" s="257"/>
    </row>
  </sheetData>
  <mergeCells count="12">
    <mergeCell ref="B4:M4"/>
    <mergeCell ref="B24:B36"/>
    <mergeCell ref="B38:B39"/>
    <mergeCell ref="B41:B46"/>
    <mergeCell ref="B10:B22"/>
    <mergeCell ref="C55:I55"/>
    <mergeCell ref="C54:I54"/>
    <mergeCell ref="C50:I50"/>
    <mergeCell ref="C51:I51"/>
    <mergeCell ref="B48:B51"/>
    <mergeCell ref="C49:I49"/>
    <mergeCell ref="C48:I48"/>
  </mergeCells>
  <phoneticPr fontId="0" type="noConversion"/>
  <conditionalFormatting sqref="G10:M11 G38:M39 G22:M22 F36:M36 G41:M46 J8:M8 J26:M30 G24:M25 G31:M35 J12:M16 F17:M21">
    <cfRule type="cellIs" dxfId="8" priority="43" operator="lessThan">
      <formula>0</formula>
    </cfRule>
  </conditionalFormatting>
  <conditionalFormatting sqref="F10:F11 F24:F25 F38:F39 F41:F46 F22">
    <cfRule type="cellIs" dxfId="7" priority="33" operator="lessThan">
      <formula>0</formula>
    </cfRule>
  </conditionalFormatting>
  <conditionalFormatting sqref="F8">
    <cfRule type="cellIs" dxfId="6" priority="32" operator="lessThan">
      <formula>0</formula>
    </cfRule>
  </conditionalFormatting>
  <conditionalFormatting sqref="G8:I8">
    <cfRule type="cellIs" dxfId="5" priority="15" operator="lessThan">
      <formula>0</formula>
    </cfRule>
  </conditionalFormatting>
  <conditionalFormatting sqref="G12:I16">
    <cfRule type="cellIs" dxfId="4" priority="19" operator="lessThan">
      <formula>0</formula>
    </cfRule>
  </conditionalFormatting>
  <conditionalFormatting sqref="F12:F16">
    <cfRule type="cellIs" dxfId="3" priority="18" operator="lessThan">
      <formula>0</formula>
    </cfRule>
  </conditionalFormatting>
  <conditionalFormatting sqref="G26:I30">
    <cfRule type="cellIs" dxfId="2" priority="12" operator="lessThan">
      <formula>0</formula>
    </cfRule>
  </conditionalFormatting>
  <conditionalFormatting sqref="F26:F30">
    <cfRule type="cellIs" dxfId="1" priority="11" operator="lessThan">
      <formula>0</formula>
    </cfRule>
  </conditionalFormatting>
  <conditionalFormatting sqref="F31:F35">
    <cfRule type="cellIs" dxfId="0" priority="10" operator="lessThan">
      <formula>0</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51"/>
  <sheetViews>
    <sheetView zoomScaleNormal="100" workbookViewId="0">
      <selection activeCell="J29" sqref="J29"/>
    </sheetView>
  </sheetViews>
  <sheetFormatPr defaultColWidth="9.140625" defaultRowHeight="13.5" customHeight="1" x14ac:dyDescent="0.25"/>
  <cols>
    <col min="1" max="1" width="0.85546875" style="5" customWidth="1"/>
    <col min="2" max="3" width="8.5703125" style="5" customWidth="1"/>
    <col min="4" max="4" width="51.42578125" style="5" customWidth="1"/>
    <col min="5" max="5" width="25.7109375" style="5" customWidth="1"/>
    <col min="6" max="8" width="8.5703125" style="5" customWidth="1"/>
    <col min="9" max="15" width="9.28515625" style="5" bestFit="1" customWidth="1"/>
    <col min="16" max="16" width="10" style="5" customWidth="1"/>
    <col min="17" max="17" width="9.28515625" style="5" bestFit="1" customWidth="1"/>
    <col min="18" max="21" width="10" style="5" bestFit="1" customWidth="1"/>
    <col min="22" max="22" width="0.7109375" style="5" customWidth="1"/>
    <col min="23" max="16384" width="9.140625" style="5"/>
  </cols>
  <sheetData>
    <row r="1" spans="2:21" ht="4.5" customHeight="1" x14ac:dyDescent="0.25">
      <c r="B1" s="4"/>
    </row>
    <row r="2" spans="2:21" ht="23.25" customHeight="1" x14ac:dyDescent="0.25">
      <c r="B2" s="326"/>
      <c r="C2" s="326"/>
      <c r="D2" s="326"/>
      <c r="E2" s="326"/>
      <c r="F2" s="326"/>
      <c r="G2" s="326"/>
      <c r="H2" s="326"/>
      <c r="I2" s="326"/>
      <c r="J2" s="326"/>
    </row>
    <row r="3" spans="2:21" ht="4.5" customHeight="1" x14ac:dyDescent="0.25">
      <c r="B3" s="4"/>
    </row>
    <row r="4" spans="2:21" ht="13.5" customHeight="1" x14ac:dyDescent="0.25">
      <c r="B4" s="270" t="s">
        <v>517</v>
      </c>
      <c r="C4" s="271"/>
      <c r="D4" s="271"/>
      <c r="E4" s="271"/>
      <c r="F4" s="271"/>
      <c r="G4" s="271"/>
      <c r="H4" s="271"/>
      <c r="I4" s="271"/>
      <c r="J4" s="271"/>
      <c r="K4" s="271"/>
      <c r="L4" s="271"/>
      <c r="M4" s="271"/>
      <c r="N4" s="271"/>
      <c r="O4" s="271"/>
      <c r="P4" s="271"/>
      <c r="Q4" s="271"/>
      <c r="R4" s="271"/>
      <c r="S4" s="271"/>
      <c r="T4" s="271"/>
      <c r="U4" s="272"/>
    </row>
    <row r="5" spans="2:21" ht="4.5" customHeight="1" x14ac:dyDescent="0.25">
      <c r="B5" s="4"/>
    </row>
    <row r="6" spans="2:21" ht="13.5" customHeight="1" x14ac:dyDescent="0.25">
      <c r="B6" s="53">
        <v>1</v>
      </c>
      <c r="C6" s="53" t="s">
        <v>43</v>
      </c>
      <c r="D6" s="54" t="s">
        <v>364</v>
      </c>
      <c r="E6" s="54" t="s">
        <v>2</v>
      </c>
      <c r="F6" s="54">
        <v>2008</v>
      </c>
      <c r="G6" s="54">
        <v>2009</v>
      </c>
      <c r="H6" s="54">
        <v>2010</v>
      </c>
      <c r="I6" s="54">
        <v>2011</v>
      </c>
      <c r="J6" s="54">
        <v>2012</v>
      </c>
      <c r="K6" s="54">
        <v>2013</v>
      </c>
      <c r="L6" s="54">
        <v>2014</v>
      </c>
      <c r="M6" s="54">
        <v>2015</v>
      </c>
      <c r="N6" s="54">
        <v>2016</v>
      </c>
      <c r="O6" s="54">
        <v>2017</v>
      </c>
      <c r="P6" s="54">
        <v>2018</v>
      </c>
      <c r="Q6" s="54">
        <v>2019</v>
      </c>
      <c r="R6" s="54">
        <v>2020</v>
      </c>
      <c r="S6" s="54">
        <v>2030</v>
      </c>
      <c r="T6" s="54">
        <v>2040</v>
      </c>
      <c r="U6" s="54">
        <v>2050</v>
      </c>
    </row>
    <row r="7" spans="2:21" ht="4.5" customHeight="1" x14ac:dyDescent="0.25">
      <c r="B7" s="4"/>
    </row>
    <row r="8" spans="2:21" ht="13.5" customHeight="1" x14ac:dyDescent="0.25">
      <c r="B8" s="300" t="s">
        <v>365</v>
      </c>
      <c r="C8" s="55" t="s">
        <v>467</v>
      </c>
      <c r="D8" s="71" t="s">
        <v>366</v>
      </c>
      <c r="E8" s="71" t="s">
        <v>367</v>
      </c>
      <c r="F8" s="43">
        <v>27600</v>
      </c>
      <c r="G8" s="43">
        <v>26400</v>
      </c>
      <c r="H8" s="43">
        <v>26800</v>
      </c>
      <c r="I8" s="43">
        <v>27300</v>
      </c>
      <c r="J8" s="43">
        <v>26700</v>
      </c>
      <c r="K8" s="43">
        <v>26500</v>
      </c>
      <c r="L8" s="43">
        <v>26700</v>
      </c>
      <c r="M8" s="43">
        <v>27200</v>
      </c>
      <c r="N8" s="44">
        <v>27900</v>
      </c>
      <c r="O8" s="44">
        <v>28500</v>
      </c>
      <c r="P8" s="44">
        <v>29100</v>
      </c>
      <c r="Q8" s="114">
        <f>+IF($B$6=0,P8,$P8*(1+Q$9)^(Q$6-$P$6))</f>
        <v>29332.799999999999</v>
      </c>
      <c r="R8" s="114">
        <f>+IF($B$6=0,Q8,$P8*(1+R$9)^(R$6-$P$6))</f>
        <v>29567.462400000004</v>
      </c>
      <c r="S8" s="114">
        <f>+IF($B$6=0,R8,$P8*(1+S$9)^(S$6-$P$6))</f>
        <v>32019.855987139879</v>
      </c>
      <c r="T8" s="114">
        <f>+IF($B$6=0,S8,$P8*(1+T$9)^(T$6-$P$6))</f>
        <v>34675.656759681107</v>
      </c>
      <c r="U8" s="114">
        <f>+IF($B$6=0,T8,$P8*(1+U$9)^(U$6-$P$6))</f>
        <v>37551.735779140872</v>
      </c>
    </row>
    <row r="9" spans="2:21" ht="13.5" customHeight="1" x14ac:dyDescent="0.25">
      <c r="B9" s="301"/>
      <c r="C9" s="55" t="s">
        <v>468</v>
      </c>
      <c r="D9" s="71" t="s">
        <v>368</v>
      </c>
      <c r="E9" s="71" t="s">
        <v>23</v>
      </c>
      <c r="F9" s="43"/>
      <c r="G9" s="112">
        <f>+G8/F8-1</f>
        <v>-4.3478260869565188E-2</v>
      </c>
      <c r="H9" s="112">
        <f t="shared" ref="H9:P9" si="0">+H8/G8-1</f>
        <v>1.5151515151515138E-2</v>
      </c>
      <c r="I9" s="112">
        <f t="shared" si="0"/>
        <v>1.8656716417910557E-2</v>
      </c>
      <c r="J9" s="112">
        <f t="shared" si="0"/>
        <v>-2.1978021978022011E-2</v>
      </c>
      <c r="K9" s="112">
        <f t="shared" si="0"/>
        <v>-7.4906367041198685E-3</v>
      </c>
      <c r="L9" s="112">
        <f t="shared" si="0"/>
        <v>7.547169811320753E-3</v>
      </c>
      <c r="M9" s="112">
        <f t="shared" si="0"/>
        <v>1.8726591760299671E-2</v>
      </c>
      <c r="N9" s="112">
        <f t="shared" si="0"/>
        <v>2.5735294117646967E-2</v>
      </c>
      <c r="O9" s="112">
        <f t="shared" si="0"/>
        <v>2.1505376344086002E-2</v>
      </c>
      <c r="P9" s="113">
        <f t="shared" si="0"/>
        <v>2.1052631578947434E-2</v>
      </c>
      <c r="Q9" s="113">
        <v>8.0000000000000002E-3</v>
      </c>
      <c r="R9" s="113">
        <f>+Q9</f>
        <v>8.0000000000000002E-3</v>
      </c>
      <c r="S9" s="113">
        <f>+R9</f>
        <v>8.0000000000000002E-3</v>
      </c>
      <c r="T9" s="113">
        <f>+S9</f>
        <v>8.0000000000000002E-3</v>
      </c>
      <c r="U9" s="113">
        <f>+T9</f>
        <v>8.0000000000000002E-3</v>
      </c>
    </row>
    <row r="10" spans="2:21" ht="13.5" customHeight="1" x14ac:dyDescent="0.25">
      <c r="B10" s="301"/>
      <c r="C10" s="55" t="s">
        <v>469</v>
      </c>
      <c r="D10" s="71" t="s">
        <v>369</v>
      </c>
      <c r="E10" s="71" t="s">
        <v>367</v>
      </c>
      <c r="F10" s="43"/>
      <c r="G10" s="43"/>
      <c r="H10" s="43"/>
      <c r="I10" s="43"/>
      <c r="J10" s="43"/>
      <c r="K10" s="43"/>
      <c r="L10" s="43"/>
      <c r="M10" s="43"/>
      <c r="N10" s="43"/>
      <c r="O10" s="43"/>
      <c r="P10" s="2"/>
      <c r="Q10" s="2"/>
      <c r="R10" s="2"/>
      <c r="S10" s="2"/>
      <c r="T10" s="2"/>
      <c r="U10" s="2"/>
    </row>
    <row r="11" spans="2:21" ht="13.5" customHeight="1" x14ac:dyDescent="0.25">
      <c r="B11" s="327"/>
      <c r="C11" s="55" t="s">
        <v>470</v>
      </c>
      <c r="D11" s="71" t="s">
        <v>370</v>
      </c>
      <c r="E11" s="71" t="s">
        <v>23</v>
      </c>
      <c r="F11" s="43"/>
      <c r="G11" s="43"/>
      <c r="H11" s="43"/>
      <c r="I11" s="43"/>
      <c r="J11" s="43"/>
      <c r="K11" s="43"/>
      <c r="L11" s="43"/>
      <c r="M11" s="43"/>
      <c r="N11" s="43"/>
      <c r="O11" s="43"/>
      <c r="P11" s="2"/>
      <c r="Q11" s="2"/>
      <c r="R11" s="2"/>
      <c r="S11" s="2"/>
      <c r="T11" s="2"/>
      <c r="U11" s="2"/>
    </row>
    <row r="12" spans="2:21" ht="4.5" customHeight="1" x14ac:dyDescent="0.25">
      <c r="B12" s="4"/>
    </row>
    <row r="13" spans="2:21" ht="13.5" customHeight="1" x14ac:dyDescent="0.25">
      <c r="B13" s="288" t="s">
        <v>344</v>
      </c>
      <c r="C13" s="63" t="s">
        <v>371</v>
      </c>
      <c r="D13" s="50" t="s">
        <v>372</v>
      </c>
      <c r="E13" s="50" t="s">
        <v>551</v>
      </c>
      <c r="F13" s="43"/>
      <c r="G13" s="43"/>
      <c r="H13" s="43"/>
      <c r="I13" s="43"/>
      <c r="J13" s="43"/>
      <c r="K13" s="43"/>
      <c r="L13" s="43"/>
      <c r="M13" s="43"/>
      <c r="N13" s="45">
        <f>+(5+10)/2</f>
        <v>7.5</v>
      </c>
      <c r="O13" s="115">
        <f t="shared" ref="O13:P15" si="1">+N13*O$8/N$8</f>
        <v>7.661290322580645</v>
      </c>
      <c r="P13" s="116">
        <f t="shared" si="1"/>
        <v>7.82258064516129</v>
      </c>
      <c r="Q13" s="116">
        <f>+IF($B$6=0,P13,$P13*(1+Q$9)^(Q$6-$P$6))</f>
        <v>7.8851612903225803</v>
      </c>
      <c r="R13" s="116">
        <f>+IF($B$6=0,Q13,$P13*(1+R$9)^(R$6-$P$6))</f>
        <v>7.9482425806451618</v>
      </c>
      <c r="S13" s="116">
        <f>+IF($B$6=0,R13,$P13*(1+S$9)^(S$6-$P$6))</f>
        <v>8.6074881685859879</v>
      </c>
      <c r="T13" s="116">
        <f>+IF($B$6=0,S13,$P13*(1+T$9)^(T$6-$P$6))</f>
        <v>9.3214131074411579</v>
      </c>
      <c r="U13" s="116">
        <f>+IF($B$6=0,T13,$P13*(1+U$9)^(U$6-$P$6))</f>
        <v>10.09455262880131</v>
      </c>
    </row>
    <row r="14" spans="2:21" ht="13.5" customHeight="1" x14ac:dyDescent="0.25">
      <c r="B14" s="293"/>
      <c r="C14" s="63" t="s">
        <v>373</v>
      </c>
      <c r="D14" s="50" t="s">
        <v>374</v>
      </c>
      <c r="E14" s="50" t="s">
        <v>551</v>
      </c>
      <c r="F14" s="43"/>
      <c r="G14" s="43"/>
      <c r="H14" s="43"/>
      <c r="I14" s="43"/>
      <c r="J14" s="43"/>
      <c r="K14" s="43"/>
      <c r="L14" s="43"/>
      <c r="M14" s="43"/>
      <c r="N14" s="45">
        <f>+(12+20)/2</f>
        <v>16</v>
      </c>
      <c r="O14" s="115">
        <f t="shared" si="1"/>
        <v>16.344086021505376</v>
      </c>
      <c r="P14" s="116">
        <f t="shared" si="1"/>
        <v>16.688172043010752</v>
      </c>
      <c r="Q14" s="116">
        <f t="shared" ref="Q14:U43" si="2">+IF($B$6=0,P14,$P14*(1+Q$9)^(Q$6-$P$6))</f>
        <v>16.821677419354838</v>
      </c>
      <c r="R14" s="116">
        <f t="shared" si="2"/>
        <v>16.956250838709678</v>
      </c>
      <c r="S14" s="116">
        <f t="shared" si="2"/>
        <v>18.362641426316774</v>
      </c>
      <c r="T14" s="116">
        <f t="shared" si="2"/>
        <v>19.88568129587447</v>
      </c>
      <c r="U14" s="116">
        <f t="shared" si="2"/>
        <v>21.53504560810946</v>
      </c>
    </row>
    <row r="15" spans="2:21" ht="13.5" customHeight="1" x14ac:dyDescent="0.25">
      <c r="B15" s="293"/>
      <c r="C15" s="63" t="s">
        <v>375</v>
      </c>
      <c r="D15" s="50" t="s">
        <v>376</v>
      </c>
      <c r="E15" s="50" t="s">
        <v>551</v>
      </c>
      <c r="F15" s="43"/>
      <c r="G15" s="43"/>
      <c r="H15" s="43"/>
      <c r="I15" s="43"/>
      <c r="J15" s="43"/>
      <c r="K15" s="43"/>
      <c r="L15" s="43"/>
      <c r="M15" s="43"/>
      <c r="N15" s="45">
        <f>+(5+15)/2</f>
        <v>10</v>
      </c>
      <c r="O15" s="115">
        <f t="shared" si="1"/>
        <v>10.21505376344086</v>
      </c>
      <c r="P15" s="116">
        <f t="shared" si="1"/>
        <v>10.43010752688172</v>
      </c>
      <c r="Q15" s="116">
        <f t="shared" si="2"/>
        <v>10.513548387096774</v>
      </c>
      <c r="R15" s="116">
        <f t="shared" si="2"/>
        <v>10.597656774193549</v>
      </c>
      <c r="S15" s="116">
        <f t="shared" si="2"/>
        <v>11.476650891447985</v>
      </c>
      <c r="T15" s="116">
        <f t="shared" si="2"/>
        <v>12.428550809921544</v>
      </c>
      <c r="U15" s="116">
        <f t="shared" si="2"/>
        <v>13.459403505068414</v>
      </c>
    </row>
    <row r="16" spans="2:21" ht="13.5" customHeight="1" x14ac:dyDescent="0.25">
      <c r="B16" s="293"/>
      <c r="C16" s="63" t="s">
        <v>377</v>
      </c>
      <c r="D16" s="50" t="s">
        <v>378</v>
      </c>
      <c r="E16" s="50" t="s">
        <v>551</v>
      </c>
      <c r="F16" s="43"/>
      <c r="G16" s="43"/>
      <c r="H16" s="43"/>
      <c r="I16" s="43"/>
      <c r="J16" s="43"/>
      <c r="K16" s="43"/>
      <c r="L16" s="43"/>
      <c r="M16" s="43"/>
      <c r="N16" s="115">
        <f>+SUMPRODUCT(N13:N15,'3.1 Mobilità e Rete TPL'!$F$18:$F$20)</f>
        <v>9.2197113078279802</v>
      </c>
      <c r="O16" s="115">
        <f>+SUMPRODUCT(O13:O15,'3.1 Mobilità e Rete TPL'!$F$18:$F$20)</f>
        <v>9.4179846692866462</v>
      </c>
      <c r="P16" s="115">
        <f>+SUMPRODUCT(P13:P15,'3.1 Mobilità e Rete TPL'!$F$18:$F$20)</f>
        <v>9.6162580307453123</v>
      </c>
      <c r="Q16" s="115">
        <f>+SUMPRODUCT(Q13:Q15,'3.1 Mobilità e Rete TPL'!$F$18:$F$20)</f>
        <v>9.6931880949912728</v>
      </c>
      <c r="R16" s="115">
        <f>+SUMPRODUCT(R13:R15,'3.1 Mobilità e Rete TPL'!$F$18:$F$20)</f>
        <v>9.770733599751205</v>
      </c>
      <c r="S16" s="115">
        <f>+SUMPRODUCT(S13:S15,'3.1 Mobilità e Rete TPL'!$F$18:$F$20)</f>
        <v>10.581140799987704</v>
      </c>
      <c r="T16" s="115">
        <f>+SUMPRODUCT(T13:T15,'3.1 Mobilità e Rete TPL'!$F$18:$F$20)</f>
        <v>11.458765044214825</v>
      </c>
      <c r="U16" s="115">
        <f>+SUMPRODUCT(U13:U15,'3.1 Mobilità e Rete TPL'!$F$18:$F$20)</f>
        <v>12.409181469229878</v>
      </c>
    </row>
    <row r="17" spans="2:21" ht="13.5" customHeight="1" x14ac:dyDescent="0.25">
      <c r="B17" s="293"/>
      <c r="C17" s="63" t="s">
        <v>379</v>
      </c>
      <c r="D17" s="51" t="s">
        <v>380</v>
      </c>
      <c r="E17" s="51" t="s">
        <v>487</v>
      </c>
      <c r="F17" s="2"/>
      <c r="G17" s="2"/>
      <c r="H17" s="48">
        <v>0</v>
      </c>
      <c r="I17" s="115">
        <f t="shared" ref="I17:P21" si="3">+H17*I$8/H$8</f>
        <v>0</v>
      </c>
      <c r="J17" s="115">
        <f t="shared" si="3"/>
        <v>0</v>
      </c>
      <c r="K17" s="115">
        <f t="shared" si="3"/>
        <v>0</v>
      </c>
      <c r="L17" s="115">
        <f t="shared" si="3"/>
        <v>0</v>
      </c>
      <c r="M17" s="115">
        <f t="shared" si="3"/>
        <v>0</v>
      </c>
      <c r="N17" s="115">
        <f t="shared" si="3"/>
        <v>0</v>
      </c>
      <c r="O17" s="115">
        <f t="shared" si="3"/>
        <v>0</v>
      </c>
      <c r="P17" s="116">
        <f t="shared" si="3"/>
        <v>0</v>
      </c>
      <c r="Q17" s="116">
        <f t="shared" si="2"/>
        <v>0</v>
      </c>
      <c r="R17" s="116">
        <f t="shared" si="2"/>
        <v>0</v>
      </c>
      <c r="S17" s="116">
        <f t="shared" si="2"/>
        <v>0</v>
      </c>
      <c r="T17" s="116">
        <f t="shared" si="2"/>
        <v>0</v>
      </c>
      <c r="U17" s="116">
        <f t="shared" si="2"/>
        <v>0</v>
      </c>
    </row>
    <row r="18" spans="2:21" ht="13.5" customHeight="1" x14ac:dyDescent="0.25">
      <c r="B18" s="293"/>
      <c r="C18" s="63" t="s">
        <v>381</v>
      </c>
      <c r="D18" s="51" t="s">
        <v>382</v>
      </c>
      <c r="E18" s="51" t="str">
        <f>+E17</f>
        <v>Euro/veicolo*km</v>
      </c>
      <c r="F18" s="2"/>
      <c r="G18" s="2"/>
      <c r="H18" s="48">
        <v>0</v>
      </c>
      <c r="I18" s="115">
        <f t="shared" si="3"/>
        <v>0</v>
      </c>
      <c r="J18" s="115">
        <f t="shared" si="3"/>
        <v>0</v>
      </c>
      <c r="K18" s="115">
        <f t="shared" si="3"/>
        <v>0</v>
      </c>
      <c r="L18" s="115">
        <f t="shared" si="3"/>
        <v>0</v>
      </c>
      <c r="M18" s="115">
        <f t="shared" si="3"/>
        <v>0</v>
      </c>
      <c r="N18" s="115">
        <f t="shared" si="3"/>
        <v>0</v>
      </c>
      <c r="O18" s="115">
        <f t="shared" si="3"/>
        <v>0</v>
      </c>
      <c r="P18" s="116">
        <f t="shared" si="3"/>
        <v>0</v>
      </c>
      <c r="Q18" s="116">
        <f t="shared" si="2"/>
        <v>0</v>
      </c>
      <c r="R18" s="116">
        <f t="shared" si="2"/>
        <v>0</v>
      </c>
      <c r="S18" s="116">
        <f t="shared" si="2"/>
        <v>0</v>
      </c>
      <c r="T18" s="116">
        <f t="shared" si="2"/>
        <v>0</v>
      </c>
      <c r="U18" s="116">
        <f t="shared" si="2"/>
        <v>0</v>
      </c>
    </row>
    <row r="19" spans="2:21" ht="13.5" customHeight="1" x14ac:dyDescent="0.25">
      <c r="B19" s="293"/>
      <c r="C19" s="63" t="s">
        <v>383</v>
      </c>
      <c r="D19" s="51" t="s">
        <v>384</v>
      </c>
      <c r="E19" s="51" t="str">
        <f t="shared" ref="E19:E37" si="4">+E18</f>
        <v>Euro/veicolo*km</v>
      </c>
      <c r="F19" s="2"/>
      <c r="G19" s="2"/>
      <c r="H19" s="46">
        <v>0.04</v>
      </c>
      <c r="I19" s="115">
        <f t="shared" si="3"/>
        <v>4.074626865671642E-2</v>
      </c>
      <c r="J19" s="115">
        <f t="shared" si="3"/>
        <v>3.9850746268656714E-2</v>
      </c>
      <c r="K19" s="115">
        <f t="shared" si="3"/>
        <v>3.9552238805970148E-2</v>
      </c>
      <c r="L19" s="115">
        <f t="shared" si="3"/>
        <v>3.9850746268656714E-2</v>
      </c>
      <c r="M19" s="115">
        <f t="shared" si="3"/>
        <v>4.0597014925373126E-2</v>
      </c>
      <c r="N19" s="115">
        <f t="shared" si="3"/>
        <v>4.1641791044776111E-2</v>
      </c>
      <c r="O19" s="115">
        <f t="shared" si="3"/>
        <v>4.2537313432835816E-2</v>
      </c>
      <c r="P19" s="116">
        <f t="shared" si="3"/>
        <v>4.3432835820895514E-2</v>
      </c>
      <c r="Q19" s="116">
        <f t="shared" si="2"/>
        <v>4.3780298507462678E-2</v>
      </c>
      <c r="R19" s="116">
        <f t="shared" si="2"/>
        <v>4.4130540895522381E-2</v>
      </c>
      <c r="S19" s="116">
        <f t="shared" si="2"/>
        <v>4.7790829831552049E-2</v>
      </c>
      <c r="T19" s="116">
        <f t="shared" si="2"/>
        <v>5.1754711581613586E-2</v>
      </c>
      <c r="U19" s="116">
        <f t="shared" si="2"/>
        <v>5.6047366834538606E-2</v>
      </c>
    </row>
    <row r="20" spans="2:21" ht="13.5" customHeight="1" x14ac:dyDescent="0.25">
      <c r="B20" s="293"/>
      <c r="C20" s="63" t="s">
        <v>385</v>
      </c>
      <c r="D20" s="51" t="s">
        <v>386</v>
      </c>
      <c r="E20" s="51" t="str">
        <f t="shared" si="4"/>
        <v>Euro/veicolo*km</v>
      </c>
      <c r="F20" s="2"/>
      <c r="G20" s="2"/>
      <c r="H20" s="48">
        <v>0</v>
      </c>
      <c r="I20" s="115">
        <f t="shared" si="3"/>
        <v>0</v>
      </c>
      <c r="J20" s="115">
        <f t="shared" si="3"/>
        <v>0</v>
      </c>
      <c r="K20" s="115">
        <f t="shared" si="3"/>
        <v>0</v>
      </c>
      <c r="L20" s="115">
        <f t="shared" si="3"/>
        <v>0</v>
      </c>
      <c r="M20" s="115">
        <f t="shared" si="3"/>
        <v>0</v>
      </c>
      <c r="N20" s="115">
        <f t="shared" si="3"/>
        <v>0</v>
      </c>
      <c r="O20" s="115">
        <f t="shared" si="3"/>
        <v>0</v>
      </c>
      <c r="P20" s="116">
        <f t="shared" si="3"/>
        <v>0</v>
      </c>
      <c r="Q20" s="116">
        <f t="shared" si="2"/>
        <v>0</v>
      </c>
      <c r="R20" s="116">
        <f t="shared" si="2"/>
        <v>0</v>
      </c>
      <c r="S20" s="116">
        <f t="shared" si="2"/>
        <v>0</v>
      </c>
      <c r="T20" s="116">
        <f t="shared" si="2"/>
        <v>0</v>
      </c>
      <c r="U20" s="116">
        <f t="shared" si="2"/>
        <v>0</v>
      </c>
    </row>
    <row r="21" spans="2:21" ht="13.5" customHeight="1" x14ac:dyDescent="0.25">
      <c r="B21" s="293"/>
      <c r="C21" s="63" t="s">
        <v>387</v>
      </c>
      <c r="D21" s="51" t="s">
        <v>388</v>
      </c>
      <c r="E21" s="51" t="str">
        <f t="shared" si="4"/>
        <v>Euro/veicolo*km</v>
      </c>
      <c r="F21" s="2"/>
      <c r="G21" s="2"/>
      <c r="H21" s="45">
        <v>0.04</v>
      </c>
      <c r="I21" s="115">
        <f>+H21*I$8/H$8</f>
        <v>4.074626865671642E-2</v>
      </c>
      <c r="J21" s="115">
        <f t="shared" si="3"/>
        <v>3.9850746268656714E-2</v>
      </c>
      <c r="K21" s="115">
        <f t="shared" si="3"/>
        <v>3.9552238805970148E-2</v>
      </c>
      <c r="L21" s="115">
        <f t="shared" si="3"/>
        <v>3.9850746268656714E-2</v>
      </c>
      <c r="M21" s="115">
        <f t="shared" si="3"/>
        <v>4.0597014925373126E-2</v>
      </c>
      <c r="N21" s="115">
        <f t="shared" si="3"/>
        <v>4.1641791044776111E-2</v>
      </c>
      <c r="O21" s="115">
        <f t="shared" si="3"/>
        <v>4.2537313432835816E-2</v>
      </c>
      <c r="P21" s="116">
        <f t="shared" si="3"/>
        <v>4.3432835820895514E-2</v>
      </c>
      <c r="Q21" s="116">
        <f t="shared" si="2"/>
        <v>4.3780298507462678E-2</v>
      </c>
      <c r="R21" s="116">
        <f t="shared" si="2"/>
        <v>4.4130540895522381E-2</v>
      </c>
      <c r="S21" s="116">
        <f t="shared" si="2"/>
        <v>4.7790829831552049E-2</v>
      </c>
      <c r="T21" s="116">
        <f t="shared" si="2"/>
        <v>5.1754711581613586E-2</v>
      </c>
      <c r="U21" s="116">
        <f t="shared" si="2"/>
        <v>5.6047366834538606E-2</v>
      </c>
    </row>
    <row r="22" spans="2:21" ht="13.5" customHeight="1" x14ac:dyDescent="0.25">
      <c r="B22" s="293"/>
      <c r="C22" s="63" t="s">
        <v>389</v>
      </c>
      <c r="D22" s="50" t="s">
        <v>390</v>
      </c>
      <c r="E22" s="51" t="str">
        <f t="shared" si="4"/>
        <v>Euro/veicolo*km</v>
      </c>
      <c r="F22" s="2"/>
      <c r="G22" s="2"/>
      <c r="H22" s="45">
        <f>0.6/100</f>
        <v>6.0000000000000001E-3</v>
      </c>
      <c r="I22" s="117">
        <f t="shared" ref="I22:P37" si="5">+H22*I$8/H$8</f>
        <v>6.1119402985074633E-3</v>
      </c>
      <c r="J22" s="117">
        <f t="shared" si="5"/>
        <v>5.9776119402985082E-3</v>
      </c>
      <c r="K22" s="117">
        <f t="shared" si="5"/>
        <v>5.9328358208955235E-3</v>
      </c>
      <c r="L22" s="117">
        <f t="shared" si="5"/>
        <v>5.9776119402985082E-3</v>
      </c>
      <c r="M22" s="117">
        <f t="shared" si="5"/>
        <v>6.0895522388059705E-3</v>
      </c>
      <c r="N22" s="117">
        <f t="shared" si="5"/>
        <v>6.2462686567164184E-3</v>
      </c>
      <c r="O22" s="117">
        <f t="shared" si="5"/>
        <v>6.3805970149253734E-3</v>
      </c>
      <c r="P22" s="116">
        <f t="shared" si="5"/>
        <v>6.5149253731343285E-3</v>
      </c>
      <c r="Q22" s="116">
        <f t="shared" si="2"/>
        <v>6.5670447761194033E-3</v>
      </c>
      <c r="R22" s="116">
        <f t="shared" si="2"/>
        <v>6.6195811343283586E-3</v>
      </c>
      <c r="S22" s="116">
        <f t="shared" si="2"/>
        <v>7.1686244747328088E-3</v>
      </c>
      <c r="T22" s="116">
        <f t="shared" si="2"/>
        <v>7.7632067372420399E-3</v>
      </c>
      <c r="U22" s="116">
        <f t="shared" si="2"/>
        <v>8.407105025180793E-3</v>
      </c>
    </row>
    <row r="23" spans="2:21" ht="13.5" customHeight="1" x14ac:dyDescent="0.25">
      <c r="B23" s="293"/>
      <c r="C23" s="63" t="s">
        <v>391</v>
      </c>
      <c r="D23" s="50" t="s">
        <v>392</v>
      </c>
      <c r="E23" s="51" t="str">
        <f t="shared" si="4"/>
        <v>Euro/veicolo*km</v>
      </c>
      <c r="F23" s="2"/>
      <c r="G23" s="2"/>
      <c r="H23" s="47">
        <f>1.5/100</f>
        <v>1.4999999999999999E-2</v>
      </c>
      <c r="I23" s="117">
        <f t="shared" si="5"/>
        <v>1.5279850746268657E-2</v>
      </c>
      <c r="J23" s="117">
        <f t="shared" si="5"/>
        <v>1.494402985074627E-2</v>
      </c>
      <c r="K23" s="117">
        <f t="shared" si="5"/>
        <v>1.4832089552238806E-2</v>
      </c>
      <c r="L23" s="117">
        <f t="shared" si="5"/>
        <v>1.494402985074627E-2</v>
      </c>
      <c r="M23" s="117">
        <f t="shared" si="5"/>
        <v>1.5223880597014926E-2</v>
      </c>
      <c r="N23" s="117">
        <f t="shared" si="5"/>
        <v>1.5615671641791045E-2</v>
      </c>
      <c r="O23" s="117">
        <f t="shared" si="5"/>
        <v>1.5951492537313434E-2</v>
      </c>
      <c r="P23" s="116">
        <f t="shared" si="5"/>
        <v>1.6287313432835824E-2</v>
      </c>
      <c r="Q23" s="116">
        <f t="shared" si="2"/>
        <v>1.6417611940298511E-2</v>
      </c>
      <c r="R23" s="116">
        <f t="shared" si="2"/>
        <v>1.6548952835820901E-2</v>
      </c>
      <c r="S23" s="116">
        <f t="shared" si="2"/>
        <v>1.7921561186832025E-2</v>
      </c>
      <c r="T23" s="116">
        <f t="shared" si="2"/>
        <v>1.9408016843105103E-2</v>
      </c>
      <c r="U23" s="116">
        <f t="shared" si="2"/>
        <v>2.1017762562951986E-2</v>
      </c>
    </row>
    <row r="24" spans="2:21" ht="13.5" customHeight="1" x14ac:dyDescent="0.25">
      <c r="B24" s="293"/>
      <c r="C24" s="63" t="s">
        <v>393</v>
      </c>
      <c r="D24" s="51" t="s">
        <v>394</v>
      </c>
      <c r="E24" s="51" t="str">
        <f t="shared" si="4"/>
        <v>Euro/veicolo*km</v>
      </c>
      <c r="F24" s="2"/>
      <c r="G24" s="2"/>
      <c r="H24" s="45">
        <f>162.1/100</f>
        <v>1.621</v>
      </c>
      <c r="I24" s="115">
        <f t="shared" si="5"/>
        <v>1.651242537313433</v>
      </c>
      <c r="J24" s="115">
        <f t="shared" si="5"/>
        <v>1.6149514925373134</v>
      </c>
      <c r="K24" s="115">
        <f t="shared" si="5"/>
        <v>1.6028544776119402</v>
      </c>
      <c r="L24" s="115">
        <f t="shared" si="5"/>
        <v>1.6149514925373132</v>
      </c>
      <c r="M24" s="115">
        <f t="shared" si="5"/>
        <v>1.6451940298507461</v>
      </c>
      <c r="N24" s="115">
        <f t="shared" si="5"/>
        <v>1.6875335820895523</v>
      </c>
      <c r="O24" s="115">
        <f t="shared" si="5"/>
        <v>1.7238246268656716</v>
      </c>
      <c r="P24" s="116">
        <f t="shared" si="5"/>
        <v>1.7601156716417909</v>
      </c>
      <c r="Q24" s="116">
        <f t="shared" si="2"/>
        <v>1.7741965970149254</v>
      </c>
      <c r="R24" s="116">
        <f t="shared" si="2"/>
        <v>1.7883901697910447</v>
      </c>
      <c r="S24" s="116">
        <f t="shared" si="2"/>
        <v>1.9367233789236471</v>
      </c>
      <c r="T24" s="116">
        <f t="shared" si="2"/>
        <v>2.0973596868448912</v>
      </c>
      <c r="U24" s="116">
        <f t="shared" si="2"/>
        <v>2.2713195409696776</v>
      </c>
    </row>
    <row r="25" spans="2:21" ht="13.5" customHeight="1" x14ac:dyDescent="0.25">
      <c r="B25" s="293"/>
      <c r="C25" s="63" t="s">
        <v>395</v>
      </c>
      <c r="D25" s="51" t="s">
        <v>396</v>
      </c>
      <c r="E25" s="51" t="str">
        <f t="shared" si="4"/>
        <v>Euro/veicolo*km</v>
      </c>
      <c r="F25" s="2"/>
      <c r="G25" s="2"/>
      <c r="H25" s="48">
        <v>0</v>
      </c>
      <c r="I25" s="115">
        <f t="shared" si="5"/>
        <v>0</v>
      </c>
      <c r="J25" s="115">
        <f t="shared" si="5"/>
        <v>0</v>
      </c>
      <c r="K25" s="115">
        <f t="shared" si="5"/>
        <v>0</v>
      </c>
      <c r="L25" s="115">
        <f t="shared" si="5"/>
        <v>0</v>
      </c>
      <c r="M25" s="115">
        <f t="shared" si="5"/>
        <v>0</v>
      </c>
      <c r="N25" s="115">
        <f t="shared" si="5"/>
        <v>0</v>
      </c>
      <c r="O25" s="115">
        <f t="shared" si="5"/>
        <v>0</v>
      </c>
      <c r="P25" s="116">
        <f t="shared" si="5"/>
        <v>0</v>
      </c>
      <c r="Q25" s="116">
        <f t="shared" si="2"/>
        <v>0</v>
      </c>
      <c r="R25" s="116">
        <f t="shared" si="2"/>
        <v>0</v>
      </c>
      <c r="S25" s="116">
        <f t="shared" si="2"/>
        <v>0</v>
      </c>
      <c r="T25" s="116">
        <f t="shared" si="2"/>
        <v>0</v>
      </c>
      <c r="U25" s="116">
        <f t="shared" si="2"/>
        <v>0</v>
      </c>
    </row>
    <row r="26" spans="2:21" ht="13.5" customHeight="1" x14ac:dyDescent="0.25">
      <c r="B26" s="293"/>
      <c r="C26" s="63" t="s">
        <v>397</v>
      </c>
      <c r="D26" s="51" t="s">
        <v>398</v>
      </c>
      <c r="E26" s="51" t="str">
        <f t="shared" si="4"/>
        <v>Euro/veicolo*km</v>
      </c>
      <c r="F26" s="2"/>
      <c r="G26" s="2"/>
      <c r="H26" s="48">
        <v>0</v>
      </c>
      <c r="I26" s="115">
        <f t="shared" si="5"/>
        <v>0</v>
      </c>
      <c r="J26" s="115">
        <f t="shared" si="5"/>
        <v>0</v>
      </c>
      <c r="K26" s="115">
        <f t="shared" si="5"/>
        <v>0</v>
      </c>
      <c r="L26" s="115">
        <f t="shared" si="5"/>
        <v>0</v>
      </c>
      <c r="M26" s="115">
        <f t="shared" si="5"/>
        <v>0</v>
      </c>
      <c r="N26" s="115">
        <f t="shared" si="5"/>
        <v>0</v>
      </c>
      <c r="O26" s="115">
        <f t="shared" si="5"/>
        <v>0</v>
      </c>
      <c r="P26" s="116">
        <f t="shared" si="5"/>
        <v>0</v>
      </c>
      <c r="Q26" s="116">
        <f t="shared" si="2"/>
        <v>0</v>
      </c>
      <c r="R26" s="116">
        <f t="shared" si="2"/>
        <v>0</v>
      </c>
      <c r="S26" s="116">
        <f t="shared" si="2"/>
        <v>0</v>
      </c>
      <c r="T26" s="116">
        <f t="shared" si="2"/>
        <v>0</v>
      </c>
      <c r="U26" s="116">
        <f t="shared" si="2"/>
        <v>0</v>
      </c>
    </row>
    <row r="27" spans="2:21" ht="13.5" customHeight="1" x14ac:dyDescent="0.25">
      <c r="B27" s="293"/>
      <c r="C27" s="63" t="s">
        <v>399</v>
      </c>
      <c r="D27" s="51" t="s">
        <v>400</v>
      </c>
      <c r="E27" s="51" t="str">
        <f t="shared" si="4"/>
        <v>Euro/veicolo*km</v>
      </c>
      <c r="F27" s="2"/>
      <c r="G27" s="2"/>
      <c r="H27" s="48">
        <v>0</v>
      </c>
      <c r="I27" s="115">
        <f t="shared" si="5"/>
        <v>0</v>
      </c>
      <c r="J27" s="115">
        <f t="shared" si="5"/>
        <v>0</v>
      </c>
      <c r="K27" s="115">
        <f t="shared" si="5"/>
        <v>0</v>
      </c>
      <c r="L27" s="115">
        <f t="shared" si="5"/>
        <v>0</v>
      </c>
      <c r="M27" s="115">
        <f t="shared" si="5"/>
        <v>0</v>
      </c>
      <c r="N27" s="115">
        <f t="shared" si="5"/>
        <v>0</v>
      </c>
      <c r="O27" s="115">
        <f t="shared" si="5"/>
        <v>0</v>
      </c>
      <c r="P27" s="116">
        <f t="shared" si="5"/>
        <v>0</v>
      </c>
      <c r="Q27" s="116">
        <f t="shared" si="2"/>
        <v>0</v>
      </c>
      <c r="R27" s="116">
        <f t="shared" si="2"/>
        <v>0</v>
      </c>
      <c r="S27" s="116">
        <f t="shared" si="2"/>
        <v>0</v>
      </c>
      <c r="T27" s="116">
        <f t="shared" si="2"/>
        <v>0</v>
      </c>
      <c r="U27" s="116">
        <f t="shared" si="2"/>
        <v>0</v>
      </c>
    </row>
    <row r="28" spans="2:21" ht="13.5" customHeight="1" x14ac:dyDescent="0.25">
      <c r="B28" s="293"/>
      <c r="C28" s="63" t="s">
        <v>401</v>
      </c>
      <c r="D28" s="51" t="s">
        <v>402</v>
      </c>
      <c r="E28" s="51" t="str">
        <f t="shared" si="4"/>
        <v>Euro/veicolo*km</v>
      </c>
      <c r="F28" s="2"/>
      <c r="G28" s="2"/>
      <c r="H28" s="45">
        <f>4.2/100</f>
        <v>4.2000000000000003E-2</v>
      </c>
      <c r="I28" s="115">
        <f t="shared" si="5"/>
        <v>4.2783582089552241E-2</v>
      </c>
      <c r="J28" s="115">
        <f t="shared" si="5"/>
        <v>4.1843283582089552E-2</v>
      </c>
      <c r="K28" s="115">
        <f t="shared" si="5"/>
        <v>4.1529850746268651E-2</v>
      </c>
      <c r="L28" s="115">
        <f t="shared" si="5"/>
        <v>4.1843283582089552E-2</v>
      </c>
      <c r="M28" s="115">
        <f t="shared" si="5"/>
        <v>4.2626865671641791E-2</v>
      </c>
      <c r="N28" s="115">
        <f t="shared" si="5"/>
        <v>4.3723880597014923E-2</v>
      </c>
      <c r="O28" s="115">
        <f t="shared" si="5"/>
        <v>4.4664179104477612E-2</v>
      </c>
      <c r="P28" s="116">
        <f t="shared" si="5"/>
        <v>4.5604477611940301E-2</v>
      </c>
      <c r="Q28" s="116">
        <f t="shared" si="2"/>
        <v>4.5969313432835827E-2</v>
      </c>
      <c r="R28" s="116">
        <f t="shared" si="2"/>
        <v>4.6337067940298515E-2</v>
      </c>
      <c r="S28" s="116">
        <f t="shared" si="2"/>
        <v>5.0180371323129663E-2</v>
      </c>
      <c r="T28" s="116">
        <f t="shared" si="2"/>
        <v>5.4342447160694279E-2</v>
      </c>
      <c r="U28" s="116">
        <f t="shared" si="2"/>
        <v>5.8849735176265551E-2</v>
      </c>
    </row>
    <row r="29" spans="2:21" ht="13.5" customHeight="1" x14ac:dyDescent="0.25">
      <c r="B29" s="293"/>
      <c r="C29" s="63" t="s">
        <v>403</v>
      </c>
      <c r="D29" s="51" t="s">
        <v>404</v>
      </c>
      <c r="E29" s="51" t="str">
        <f t="shared" si="4"/>
        <v>Euro/veicolo*km</v>
      </c>
      <c r="F29" s="2"/>
      <c r="G29" s="2"/>
      <c r="H29" s="45">
        <f>0.6/100</f>
        <v>6.0000000000000001E-3</v>
      </c>
      <c r="I29" s="115">
        <f t="shared" si="5"/>
        <v>6.1119402985074633E-3</v>
      </c>
      <c r="J29" s="115">
        <f t="shared" si="5"/>
        <v>5.9776119402985082E-3</v>
      </c>
      <c r="K29" s="115">
        <f t="shared" si="5"/>
        <v>5.9328358208955235E-3</v>
      </c>
      <c r="L29" s="115">
        <f t="shared" si="5"/>
        <v>5.9776119402985082E-3</v>
      </c>
      <c r="M29" s="115">
        <f t="shared" si="5"/>
        <v>6.0895522388059705E-3</v>
      </c>
      <c r="N29" s="115">
        <f t="shared" si="5"/>
        <v>6.2462686567164184E-3</v>
      </c>
      <c r="O29" s="115">
        <f t="shared" si="5"/>
        <v>6.3805970149253734E-3</v>
      </c>
      <c r="P29" s="116">
        <f t="shared" si="5"/>
        <v>6.5149253731343285E-3</v>
      </c>
      <c r="Q29" s="116">
        <f t="shared" si="2"/>
        <v>6.5670447761194033E-3</v>
      </c>
      <c r="R29" s="116">
        <f t="shared" si="2"/>
        <v>6.6195811343283586E-3</v>
      </c>
      <c r="S29" s="116">
        <f t="shared" si="2"/>
        <v>7.1686244747328088E-3</v>
      </c>
      <c r="T29" s="116">
        <f t="shared" si="2"/>
        <v>7.7632067372420399E-3</v>
      </c>
      <c r="U29" s="116">
        <f t="shared" si="2"/>
        <v>8.407105025180793E-3</v>
      </c>
    </row>
    <row r="30" spans="2:21" ht="13.5" customHeight="1" x14ac:dyDescent="0.25">
      <c r="B30" s="293"/>
      <c r="C30" s="63" t="s">
        <v>405</v>
      </c>
      <c r="D30" s="51" t="s">
        <v>406</v>
      </c>
      <c r="E30" s="51" t="str">
        <f t="shared" si="4"/>
        <v>Euro/veicolo*km</v>
      </c>
      <c r="F30" s="2"/>
      <c r="G30" s="2"/>
      <c r="H30" s="38">
        <v>2.4379600000000003E-3</v>
      </c>
      <c r="I30" s="115">
        <f t="shared" si="5"/>
        <v>2.4834443283582091E-3</v>
      </c>
      <c r="J30" s="115">
        <f t="shared" si="5"/>
        <v>2.4288631343283582E-3</v>
      </c>
      <c r="K30" s="115">
        <f t="shared" si="5"/>
        <v>2.4106694029850748E-3</v>
      </c>
      <c r="L30" s="115">
        <f t="shared" si="5"/>
        <v>2.4288631343283582E-3</v>
      </c>
      <c r="M30" s="115">
        <f t="shared" si="5"/>
        <v>2.4743474626865674E-3</v>
      </c>
      <c r="N30" s="115">
        <f t="shared" si="5"/>
        <v>2.5380255223880601E-3</v>
      </c>
      <c r="O30" s="115">
        <f t="shared" si="5"/>
        <v>2.592606716417911E-3</v>
      </c>
      <c r="P30" s="116">
        <f t="shared" si="5"/>
        <v>2.647187910447762E-3</v>
      </c>
      <c r="Q30" s="116">
        <f t="shared" si="2"/>
        <v>2.6683654137313441E-3</v>
      </c>
      <c r="R30" s="116">
        <f t="shared" si="2"/>
        <v>2.6897123370411952E-3</v>
      </c>
      <c r="S30" s="116">
        <f t="shared" si="2"/>
        <v>2.9128032874032673E-3</v>
      </c>
      <c r="T30" s="116">
        <f t="shared" si="2"/>
        <v>3.1543979161877682E-3</v>
      </c>
      <c r="U30" s="116">
        <f t="shared" si="2"/>
        <v>3.4160309611982955E-3</v>
      </c>
    </row>
    <row r="31" spans="2:21" ht="13.5" customHeight="1" x14ac:dyDescent="0.25">
      <c r="B31" s="293"/>
      <c r="C31" s="63" t="s">
        <v>407</v>
      </c>
      <c r="D31" s="51" t="s">
        <v>408</v>
      </c>
      <c r="E31" s="51" t="str">
        <f t="shared" si="4"/>
        <v>Euro/veicolo*km</v>
      </c>
      <c r="F31" s="2"/>
      <c r="G31" s="2"/>
      <c r="H31" s="45">
        <f>540.2/1000</f>
        <v>0.54020000000000001</v>
      </c>
      <c r="I31" s="115">
        <f t="shared" si="5"/>
        <v>0.55027835820895521</v>
      </c>
      <c r="J31" s="115">
        <f t="shared" si="5"/>
        <v>0.53818432835820895</v>
      </c>
      <c r="K31" s="115">
        <f t="shared" si="5"/>
        <v>0.53415298507462683</v>
      </c>
      <c r="L31" s="115">
        <f t="shared" si="5"/>
        <v>0.53818432835820895</v>
      </c>
      <c r="M31" s="115">
        <f t="shared" si="5"/>
        <v>0.54826268656716415</v>
      </c>
      <c r="N31" s="115">
        <f t="shared" si="5"/>
        <v>0.56237238805970147</v>
      </c>
      <c r="O31" s="115">
        <f t="shared" si="5"/>
        <v>0.57446641791044772</v>
      </c>
      <c r="P31" s="116">
        <f t="shared" si="5"/>
        <v>0.58656044776119398</v>
      </c>
      <c r="Q31" s="116">
        <f t="shared" si="2"/>
        <v>0.59125293134328349</v>
      </c>
      <c r="R31" s="116">
        <f t="shared" si="2"/>
        <v>0.59598295479402985</v>
      </c>
      <c r="S31" s="116">
        <f t="shared" si="2"/>
        <v>0.64541515687511042</v>
      </c>
      <c r="T31" s="116">
        <f t="shared" si="2"/>
        <v>0.69894737990969158</v>
      </c>
      <c r="U31" s="116">
        <f t="shared" si="2"/>
        <v>0.75691968910044394</v>
      </c>
    </row>
    <row r="32" spans="2:21" ht="13.5" customHeight="1" x14ac:dyDescent="0.25">
      <c r="B32" s="293"/>
      <c r="C32" s="63" t="s">
        <v>409</v>
      </c>
      <c r="D32" s="51" t="s">
        <v>410</v>
      </c>
      <c r="E32" s="51" t="str">
        <f t="shared" si="4"/>
        <v>Euro/veicolo*km</v>
      </c>
      <c r="F32" s="2"/>
      <c r="G32" s="2"/>
      <c r="H32" s="48">
        <v>0</v>
      </c>
      <c r="I32" s="115">
        <f t="shared" si="5"/>
        <v>0</v>
      </c>
      <c r="J32" s="115">
        <f t="shared" si="5"/>
        <v>0</v>
      </c>
      <c r="K32" s="115">
        <f t="shared" si="5"/>
        <v>0</v>
      </c>
      <c r="L32" s="115">
        <f t="shared" si="5"/>
        <v>0</v>
      </c>
      <c r="M32" s="115">
        <f t="shared" si="5"/>
        <v>0</v>
      </c>
      <c r="N32" s="115">
        <f t="shared" si="5"/>
        <v>0</v>
      </c>
      <c r="O32" s="115">
        <f t="shared" si="5"/>
        <v>0</v>
      </c>
      <c r="P32" s="116">
        <f t="shared" si="5"/>
        <v>0</v>
      </c>
      <c r="Q32" s="116">
        <f t="shared" si="2"/>
        <v>0</v>
      </c>
      <c r="R32" s="116">
        <f t="shared" si="2"/>
        <v>0</v>
      </c>
      <c r="S32" s="116">
        <f t="shared" si="2"/>
        <v>0</v>
      </c>
      <c r="T32" s="116">
        <f t="shared" si="2"/>
        <v>0</v>
      </c>
      <c r="U32" s="116">
        <f t="shared" si="2"/>
        <v>0</v>
      </c>
    </row>
    <row r="33" spans="2:21" ht="13.5" customHeight="1" x14ac:dyDescent="0.25">
      <c r="B33" s="293"/>
      <c r="C33" s="63" t="s">
        <v>411</v>
      </c>
      <c r="D33" s="51" t="s">
        <v>412</v>
      </c>
      <c r="E33" s="51" t="str">
        <f t="shared" si="4"/>
        <v>Euro/veicolo*km</v>
      </c>
      <c r="F33" s="2"/>
      <c r="G33" s="2"/>
      <c r="H33" s="48">
        <v>0</v>
      </c>
      <c r="I33" s="115">
        <f t="shared" si="5"/>
        <v>0</v>
      </c>
      <c r="J33" s="115">
        <f t="shared" si="5"/>
        <v>0</v>
      </c>
      <c r="K33" s="115">
        <f t="shared" si="5"/>
        <v>0</v>
      </c>
      <c r="L33" s="115">
        <f t="shared" si="5"/>
        <v>0</v>
      </c>
      <c r="M33" s="115">
        <f t="shared" si="5"/>
        <v>0</v>
      </c>
      <c r="N33" s="115">
        <f t="shared" si="5"/>
        <v>0</v>
      </c>
      <c r="O33" s="115">
        <f t="shared" si="5"/>
        <v>0</v>
      </c>
      <c r="P33" s="116">
        <f t="shared" si="5"/>
        <v>0</v>
      </c>
      <c r="Q33" s="116">
        <f t="shared" si="2"/>
        <v>0</v>
      </c>
      <c r="R33" s="116">
        <f t="shared" si="2"/>
        <v>0</v>
      </c>
      <c r="S33" s="116">
        <f t="shared" si="2"/>
        <v>0</v>
      </c>
      <c r="T33" s="116">
        <f t="shared" si="2"/>
        <v>0</v>
      </c>
      <c r="U33" s="116">
        <f t="shared" si="2"/>
        <v>0</v>
      </c>
    </row>
    <row r="34" spans="2:21" ht="13.5" customHeight="1" x14ac:dyDescent="0.25">
      <c r="B34" s="293"/>
      <c r="C34" s="63" t="s">
        <v>413</v>
      </c>
      <c r="D34" s="51" t="s">
        <v>414</v>
      </c>
      <c r="E34" s="51" t="str">
        <f t="shared" si="4"/>
        <v>Euro/veicolo*km</v>
      </c>
      <c r="F34" s="2"/>
      <c r="G34" s="2"/>
      <c r="H34" s="48">
        <v>0</v>
      </c>
      <c r="I34" s="115">
        <f t="shared" si="5"/>
        <v>0</v>
      </c>
      <c r="J34" s="115">
        <f t="shared" si="5"/>
        <v>0</v>
      </c>
      <c r="K34" s="115">
        <f t="shared" si="5"/>
        <v>0</v>
      </c>
      <c r="L34" s="115">
        <f t="shared" si="5"/>
        <v>0</v>
      </c>
      <c r="M34" s="115">
        <f t="shared" si="5"/>
        <v>0</v>
      </c>
      <c r="N34" s="115">
        <f t="shared" si="5"/>
        <v>0</v>
      </c>
      <c r="O34" s="115">
        <f t="shared" si="5"/>
        <v>0</v>
      </c>
      <c r="P34" s="116">
        <f t="shared" si="5"/>
        <v>0</v>
      </c>
      <c r="Q34" s="116">
        <f t="shared" si="2"/>
        <v>0</v>
      </c>
      <c r="R34" s="116">
        <f t="shared" si="2"/>
        <v>0</v>
      </c>
      <c r="S34" s="116">
        <f t="shared" si="2"/>
        <v>0</v>
      </c>
      <c r="T34" s="116">
        <f t="shared" si="2"/>
        <v>0</v>
      </c>
      <c r="U34" s="116">
        <f t="shared" si="2"/>
        <v>0</v>
      </c>
    </row>
    <row r="35" spans="2:21" ht="13.5" customHeight="1" x14ac:dyDescent="0.25">
      <c r="B35" s="293"/>
      <c r="C35" s="63" t="s">
        <v>415</v>
      </c>
      <c r="D35" s="51" t="s">
        <v>416</v>
      </c>
      <c r="E35" s="51" t="str">
        <f t="shared" si="4"/>
        <v>Euro/veicolo*km</v>
      </c>
      <c r="F35" s="2"/>
      <c r="G35" s="2"/>
      <c r="H35" s="45">
        <f>44/1000</f>
        <v>4.3999999999999997E-2</v>
      </c>
      <c r="I35" s="115">
        <f t="shared" si="5"/>
        <v>4.4820895522388056E-2</v>
      </c>
      <c r="J35" s="115">
        <f t="shared" si="5"/>
        <v>4.3835820895522383E-2</v>
      </c>
      <c r="K35" s="115">
        <f t="shared" si="5"/>
        <v>4.3507462686567161E-2</v>
      </c>
      <c r="L35" s="115">
        <f t="shared" si="5"/>
        <v>4.3835820895522383E-2</v>
      </c>
      <c r="M35" s="115">
        <f t="shared" si="5"/>
        <v>4.4656716417910441E-2</v>
      </c>
      <c r="N35" s="115">
        <f t="shared" si="5"/>
        <v>4.5805970149253722E-2</v>
      </c>
      <c r="O35" s="115">
        <f t="shared" si="5"/>
        <v>4.6791044776119395E-2</v>
      </c>
      <c r="P35" s="116">
        <f t="shared" si="5"/>
        <v>4.7776119402985068E-2</v>
      </c>
      <c r="Q35" s="116">
        <f t="shared" si="2"/>
        <v>4.8158328358208949E-2</v>
      </c>
      <c r="R35" s="116">
        <f t="shared" si="2"/>
        <v>4.8543594985074622E-2</v>
      </c>
      <c r="S35" s="116">
        <f t="shared" si="2"/>
        <v>5.2569912814707256E-2</v>
      </c>
      <c r="T35" s="116">
        <f t="shared" si="2"/>
        <v>5.6930182739774952E-2</v>
      </c>
      <c r="U35" s="116">
        <f t="shared" si="2"/>
        <v>6.1652103517992475E-2</v>
      </c>
    </row>
    <row r="36" spans="2:21" ht="13.5" customHeight="1" x14ac:dyDescent="0.25">
      <c r="B36" s="293"/>
      <c r="C36" s="63" t="s">
        <v>417</v>
      </c>
      <c r="D36" s="51" t="s">
        <v>418</v>
      </c>
      <c r="E36" s="51" t="str">
        <f t="shared" si="4"/>
        <v>Euro/veicolo*km</v>
      </c>
      <c r="F36" s="2"/>
      <c r="G36" s="2"/>
      <c r="H36" s="45">
        <f>8.8/1000</f>
        <v>8.8000000000000005E-3</v>
      </c>
      <c r="I36" s="115">
        <f t="shared" si="5"/>
        <v>8.9641791044776115E-3</v>
      </c>
      <c r="J36" s="115">
        <f t="shared" si="5"/>
        <v>8.7671641791044769E-3</v>
      </c>
      <c r="K36" s="115">
        <f t="shared" si="5"/>
        <v>8.7014925373134332E-3</v>
      </c>
      <c r="L36" s="115">
        <f t="shared" si="5"/>
        <v>8.7671641791044787E-3</v>
      </c>
      <c r="M36" s="115">
        <f t="shared" si="5"/>
        <v>8.9313432835820897E-3</v>
      </c>
      <c r="N36" s="115">
        <f t="shared" si="5"/>
        <v>9.1611940298507461E-3</v>
      </c>
      <c r="O36" s="115">
        <f t="shared" si="5"/>
        <v>9.3582089552238807E-3</v>
      </c>
      <c r="P36" s="116">
        <f t="shared" si="5"/>
        <v>9.5552238805970153E-3</v>
      </c>
      <c r="Q36" s="116">
        <f t="shared" si="2"/>
        <v>9.6316656716417919E-3</v>
      </c>
      <c r="R36" s="116">
        <f t="shared" si="2"/>
        <v>9.7087189970149271E-3</v>
      </c>
      <c r="S36" s="116">
        <f t="shared" si="2"/>
        <v>1.0513982562941454E-2</v>
      </c>
      <c r="T36" s="116">
        <f t="shared" si="2"/>
        <v>1.1386036547954993E-2</v>
      </c>
      <c r="U36" s="116">
        <f t="shared" si="2"/>
        <v>1.2330420703598497E-2</v>
      </c>
    </row>
    <row r="37" spans="2:21" ht="13.5" customHeight="1" x14ac:dyDescent="0.25">
      <c r="B37" s="293"/>
      <c r="C37" s="63" t="s">
        <v>419</v>
      </c>
      <c r="D37" s="51" t="s">
        <v>420</v>
      </c>
      <c r="E37" s="51" t="str">
        <f t="shared" si="4"/>
        <v>Euro/veicolo*km</v>
      </c>
      <c r="F37" s="2"/>
      <c r="G37" s="2"/>
      <c r="H37" s="45">
        <f>17.7/1000</f>
        <v>1.77E-2</v>
      </c>
      <c r="I37" s="115">
        <f t="shared" si="5"/>
        <v>1.8030223880597017E-2</v>
      </c>
      <c r="J37" s="115">
        <f t="shared" si="5"/>
        <v>1.7633955223880598E-2</v>
      </c>
      <c r="K37" s="115">
        <f t="shared" si="5"/>
        <v>1.7501865671641793E-2</v>
      </c>
      <c r="L37" s="115">
        <f t="shared" si="5"/>
        <v>1.7633955223880601E-2</v>
      </c>
      <c r="M37" s="115">
        <f t="shared" si="5"/>
        <v>1.7964179104477618E-2</v>
      </c>
      <c r="N37" s="115">
        <f t="shared" si="5"/>
        <v>1.8426492537313439E-2</v>
      </c>
      <c r="O37" s="115">
        <f t="shared" si="5"/>
        <v>1.8822761194029859E-2</v>
      </c>
      <c r="P37" s="116">
        <f t="shared" si="5"/>
        <v>1.9219029850746278E-2</v>
      </c>
      <c r="Q37" s="116">
        <f t="shared" si="2"/>
        <v>1.9372782089552249E-2</v>
      </c>
      <c r="R37" s="116">
        <f t="shared" si="2"/>
        <v>1.9527764346268666E-2</v>
      </c>
      <c r="S37" s="116">
        <f t="shared" si="2"/>
        <v>2.1147442200461795E-2</v>
      </c>
      <c r="T37" s="116">
        <f t="shared" si="2"/>
        <v>2.2901459874864027E-2</v>
      </c>
      <c r="U37" s="116">
        <f t="shared" si="2"/>
        <v>2.4800959824283351E-2</v>
      </c>
    </row>
    <row r="38" spans="2:21" ht="13.5" customHeight="1" x14ac:dyDescent="0.25">
      <c r="B38" s="294"/>
      <c r="C38" s="63" t="s">
        <v>421</v>
      </c>
      <c r="D38" s="51" t="s">
        <v>422</v>
      </c>
      <c r="E38" s="51" t="s">
        <v>423</v>
      </c>
      <c r="F38" s="3"/>
      <c r="G38" s="3"/>
      <c r="H38" s="47">
        <v>90</v>
      </c>
      <c r="I38" s="117">
        <f t="shared" ref="I38:P38" si="6">+H38*I$8/H$8</f>
        <v>91.679104477611943</v>
      </c>
      <c r="J38" s="117">
        <f t="shared" si="6"/>
        <v>89.664179104477626</v>
      </c>
      <c r="K38" s="117">
        <f t="shared" si="6"/>
        <v>88.992537313432848</v>
      </c>
      <c r="L38" s="117">
        <f t="shared" si="6"/>
        <v>89.664179104477626</v>
      </c>
      <c r="M38" s="117">
        <f t="shared" si="6"/>
        <v>91.343283582089555</v>
      </c>
      <c r="N38" s="117">
        <f t="shared" si="6"/>
        <v>93.694029850746276</v>
      </c>
      <c r="O38" s="117">
        <f t="shared" si="6"/>
        <v>95.708955223880608</v>
      </c>
      <c r="P38" s="116">
        <f t="shared" si="6"/>
        <v>97.72388059701494</v>
      </c>
      <c r="Q38" s="116">
        <f t="shared" si="2"/>
        <v>98.505671641791054</v>
      </c>
      <c r="R38" s="116">
        <f t="shared" si="2"/>
        <v>99.293717014925392</v>
      </c>
      <c r="S38" s="116">
        <f t="shared" si="2"/>
        <v>107.52936712099215</v>
      </c>
      <c r="T38" s="116">
        <f t="shared" si="2"/>
        <v>116.44810105863061</v>
      </c>
      <c r="U38" s="116">
        <f t="shared" si="2"/>
        <v>126.10657537771191</v>
      </c>
    </row>
    <row r="39" spans="2:21" ht="4.5" customHeight="1" x14ac:dyDescent="0.25">
      <c r="B39" s="4"/>
    </row>
    <row r="40" spans="2:21" ht="13.5" customHeight="1" x14ac:dyDescent="0.25">
      <c r="B40" s="323" t="s">
        <v>424</v>
      </c>
      <c r="C40" s="79" t="s">
        <v>425</v>
      </c>
      <c r="D40" s="50" t="s">
        <v>426</v>
      </c>
      <c r="E40" s="50" t="str">
        <f>+E37</f>
        <v>Euro/veicolo*km</v>
      </c>
      <c r="F40" s="2"/>
      <c r="G40" s="2"/>
      <c r="H40" s="2"/>
      <c r="I40" s="2"/>
      <c r="J40" s="2"/>
      <c r="K40" s="2"/>
      <c r="L40" s="2"/>
      <c r="M40" s="2"/>
      <c r="N40" s="2"/>
      <c r="O40" s="45">
        <f>+AVERAGE(0.07587,0.07961)</f>
        <v>7.7740000000000004E-2</v>
      </c>
      <c r="P40" s="116">
        <f>+O40*P$8/O$8</f>
        <v>7.9376631578947365E-2</v>
      </c>
      <c r="Q40" s="116">
        <f t="shared" si="2"/>
        <v>8.0011644631578949E-2</v>
      </c>
      <c r="R40" s="116">
        <f t="shared" ref="R40:U43" si="7">+IF($B$6=0,Q40,$P40*(1+R$9)^(R$6-$P$6))</f>
        <v>8.0651737788631578E-2</v>
      </c>
      <c r="S40" s="116">
        <f t="shared" si="7"/>
        <v>8.7341179103166813E-2</v>
      </c>
      <c r="T40" s="116">
        <f t="shared" si="7"/>
        <v>9.4585458122723134E-2</v>
      </c>
      <c r="U40" s="116">
        <f t="shared" si="7"/>
        <v>0.10243059436738286</v>
      </c>
    </row>
    <row r="41" spans="2:21" ht="13.5" customHeight="1" x14ac:dyDescent="0.25">
      <c r="B41" s="324"/>
      <c r="C41" s="79" t="s">
        <v>427</v>
      </c>
      <c r="D41" s="50" t="s">
        <v>428</v>
      </c>
      <c r="E41" s="50" t="str">
        <f>+E40</f>
        <v>Euro/veicolo*km</v>
      </c>
      <c r="F41" s="2"/>
      <c r="G41" s="2"/>
      <c r="H41" s="2"/>
      <c r="I41" s="2"/>
      <c r="J41" s="2"/>
      <c r="K41" s="2"/>
      <c r="L41" s="2"/>
      <c r="M41" s="2"/>
      <c r="N41" s="2"/>
      <c r="O41" s="45">
        <f>+AVERAGE(0.13656,0.09569)</f>
        <v>0.11612499999999999</v>
      </c>
      <c r="P41" s="116">
        <f>+O41*P$8/O$8</f>
        <v>0.11856973684210526</v>
      </c>
      <c r="Q41" s="116">
        <f t="shared" si="2"/>
        <v>0.1195182947368421</v>
      </c>
      <c r="R41" s="116">
        <f t="shared" si="7"/>
        <v>0.12047444109473684</v>
      </c>
      <c r="S41" s="116">
        <f t="shared" si="7"/>
        <v>0.1304668693511094</v>
      </c>
      <c r="T41" s="116">
        <f t="shared" si="7"/>
        <v>0.14128809267431469</v>
      </c>
      <c r="U41" s="116">
        <f t="shared" si="7"/>
        <v>0.1530068532404468</v>
      </c>
    </row>
    <row r="42" spans="2:21" ht="13.5" customHeight="1" x14ac:dyDescent="0.25">
      <c r="B42" s="324"/>
      <c r="C42" s="79" t="s">
        <v>429</v>
      </c>
      <c r="D42" s="50" t="s">
        <v>430</v>
      </c>
      <c r="E42" s="50" t="str">
        <f t="shared" ref="E42:E50" si="8">+E41</f>
        <v>Euro/veicolo*km</v>
      </c>
      <c r="F42" s="2"/>
      <c r="G42" s="2"/>
      <c r="H42" s="2"/>
      <c r="I42" s="2"/>
      <c r="J42" s="2"/>
      <c r="K42" s="2"/>
      <c r="L42" s="2"/>
      <c r="M42" s="2"/>
      <c r="N42" s="2"/>
      <c r="O42" s="45">
        <f>+AVERAGE(0.01656,0.02317)</f>
        <v>1.9865000000000001E-2</v>
      </c>
      <c r="P42" s="116">
        <f>+O42*P$8/O$8</f>
        <v>2.0283210526315789E-2</v>
      </c>
      <c r="Q42" s="116">
        <f t="shared" si="2"/>
        <v>2.0445476210526316E-2</v>
      </c>
      <c r="R42" s="116">
        <f t="shared" si="7"/>
        <v>2.0609040020210526E-2</v>
      </c>
      <c r="S42" s="116">
        <f t="shared" si="7"/>
        <v>2.2318401374895918E-2</v>
      </c>
      <c r="T42" s="116">
        <f t="shared" si="7"/>
        <v>2.4169541106353165E-2</v>
      </c>
      <c r="U42" s="116">
        <f t="shared" si="7"/>
        <v>2.6174218640443281E-2</v>
      </c>
    </row>
    <row r="43" spans="2:21" ht="13.5" customHeight="1" x14ac:dyDescent="0.25">
      <c r="B43" s="324"/>
      <c r="C43" s="79" t="s">
        <v>431</v>
      </c>
      <c r="D43" s="50" t="s">
        <v>432</v>
      </c>
      <c r="E43" s="50" t="str">
        <f t="shared" si="8"/>
        <v>Euro/veicolo*km</v>
      </c>
      <c r="F43" s="2"/>
      <c r="G43" s="2"/>
      <c r="H43" s="2"/>
      <c r="I43" s="2"/>
      <c r="J43" s="2"/>
      <c r="K43" s="2"/>
      <c r="L43" s="2"/>
      <c r="M43" s="2"/>
      <c r="N43" s="2"/>
      <c r="O43" s="45">
        <f>+AVERAGE(0.06871,0.07659)</f>
        <v>7.2649999999999992E-2</v>
      </c>
      <c r="P43" s="116">
        <f>+O43*P$8/O$8</f>
        <v>7.4179473684210517E-2</v>
      </c>
      <c r="Q43" s="116">
        <f t="shared" si="2"/>
        <v>7.4772909473684201E-2</v>
      </c>
      <c r="R43" s="116">
        <f t="shared" si="7"/>
        <v>7.5371092749473678E-2</v>
      </c>
      <c r="S43" s="116">
        <f t="shared" si="7"/>
        <v>8.1622545174235506E-2</v>
      </c>
      <c r="T43" s="116">
        <f t="shared" si="7"/>
        <v>8.8392507494415171E-2</v>
      </c>
      <c r="U43" s="116">
        <f t="shared" si="7"/>
        <v>9.5723986117704704E-2</v>
      </c>
    </row>
    <row r="44" spans="2:21" ht="13.5" customHeight="1" x14ac:dyDescent="0.25">
      <c r="B44" s="325"/>
      <c r="C44" s="79" t="s">
        <v>231</v>
      </c>
      <c r="D44" s="50" t="s">
        <v>433</v>
      </c>
      <c r="E44" s="50" t="str">
        <f t="shared" si="8"/>
        <v>Euro/veicolo*km</v>
      </c>
      <c r="F44" s="2"/>
      <c r="G44" s="2"/>
      <c r="H44" s="2"/>
      <c r="I44" s="2"/>
      <c r="J44" s="2"/>
      <c r="K44" s="2"/>
      <c r="L44" s="2"/>
      <c r="M44" s="2"/>
      <c r="N44" s="2"/>
      <c r="O44" s="115">
        <f>+SUM(O40:O43)</f>
        <v>0.28637999999999997</v>
      </c>
      <c r="P44" s="116">
        <f t="shared" ref="P44:U44" si="9">+SUM(P40:P43)</f>
        <v>0.2924090526315789</v>
      </c>
      <c r="Q44" s="116">
        <f t="shared" si="9"/>
        <v>0.2947483250526316</v>
      </c>
      <c r="R44" s="116">
        <f t="shared" si="9"/>
        <v>0.29710631165305262</v>
      </c>
      <c r="S44" s="116">
        <f t="shared" si="9"/>
        <v>0.32174899500340759</v>
      </c>
      <c r="T44" s="116">
        <f t="shared" si="9"/>
        <v>0.34843559939780616</v>
      </c>
      <c r="U44" s="116">
        <f t="shared" si="9"/>
        <v>0.37733565236597766</v>
      </c>
    </row>
    <row r="45" spans="2:21" ht="4.5" customHeight="1" x14ac:dyDescent="0.25">
      <c r="B45" s="4"/>
    </row>
    <row r="46" spans="2:21" ht="13.5" customHeight="1" x14ac:dyDescent="0.25">
      <c r="B46" s="323" t="s">
        <v>434</v>
      </c>
      <c r="C46" s="79" t="s">
        <v>435</v>
      </c>
      <c r="D46" s="50" t="str">
        <f>+D40</f>
        <v>Costo quota capitale</v>
      </c>
      <c r="E46" s="50" t="str">
        <f>+E44</f>
        <v>Euro/veicolo*km</v>
      </c>
      <c r="F46" s="2"/>
      <c r="G46" s="2"/>
      <c r="H46" s="2"/>
      <c r="I46" s="2"/>
      <c r="J46" s="2"/>
      <c r="K46" s="2"/>
      <c r="L46" s="2"/>
      <c r="M46" s="2"/>
      <c r="N46" s="2"/>
      <c r="O46" s="45">
        <f>+O40/4</f>
        <v>1.9435000000000001E-2</v>
      </c>
      <c r="P46" s="116">
        <f>+O46*P$8/O$8</f>
        <v>1.9844157894736841E-2</v>
      </c>
      <c r="Q46" s="116">
        <f t="shared" ref="Q46:U49" si="10">+IF($B$6=0,P46,$P46*(1+Q$9)^(Q$6-$P$6))</f>
        <v>2.0002911157894737E-2</v>
      </c>
      <c r="R46" s="116">
        <f t="shared" si="10"/>
        <v>2.0162934447157894E-2</v>
      </c>
      <c r="S46" s="116">
        <f t="shared" si="10"/>
        <v>2.1835294775791703E-2</v>
      </c>
      <c r="T46" s="116">
        <f t="shared" si="10"/>
        <v>2.3646364530680784E-2</v>
      </c>
      <c r="U46" s="116">
        <f t="shared" si="10"/>
        <v>2.5607648591845715E-2</v>
      </c>
    </row>
    <row r="47" spans="2:21" ht="13.5" customHeight="1" x14ac:dyDescent="0.25">
      <c r="B47" s="324"/>
      <c r="C47" s="79" t="s">
        <v>436</v>
      </c>
      <c r="D47" s="50" t="str">
        <f>+D41</f>
        <v>Costo carburante</v>
      </c>
      <c r="E47" s="50" t="str">
        <f t="shared" si="8"/>
        <v>Euro/veicolo*km</v>
      </c>
      <c r="F47" s="2"/>
      <c r="G47" s="2"/>
      <c r="H47" s="2"/>
      <c r="I47" s="2"/>
      <c r="J47" s="2"/>
      <c r="K47" s="2"/>
      <c r="L47" s="2"/>
      <c r="M47" s="2"/>
      <c r="N47" s="2"/>
      <c r="O47" s="49">
        <f>+O41/2</f>
        <v>5.8062499999999996E-2</v>
      </c>
      <c r="P47" s="116">
        <f>+O47*P$8/O$8</f>
        <v>5.9284868421052628E-2</v>
      </c>
      <c r="Q47" s="116">
        <f t="shared" si="10"/>
        <v>5.9759147368421049E-2</v>
      </c>
      <c r="R47" s="116">
        <f t="shared" si="10"/>
        <v>6.0237220547368422E-2</v>
      </c>
      <c r="S47" s="116">
        <f t="shared" si="10"/>
        <v>6.5233434675554702E-2</v>
      </c>
      <c r="T47" s="116">
        <f t="shared" si="10"/>
        <v>7.0644046337157346E-2</v>
      </c>
      <c r="U47" s="116">
        <f t="shared" si="10"/>
        <v>7.65034266202234E-2</v>
      </c>
    </row>
    <row r="48" spans="2:21" ht="13.5" customHeight="1" x14ac:dyDescent="0.25">
      <c r="B48" s="324"/>
      <c r="C48" s="79" t="s">
        <v>437</v>
      </c>
      <c r="D48" s="50" t="str">
        <f>+D42</f>
        <v>Costo pneumatici</v>
      </c>
      <c r="E48" s="50" t="str">
        <f t="shared" si="8"/>
        <v>Euro/veicolo*km</v>
      </c>
      <c r="F48" s="2"/>
      <c r="G48" s="2"/>
      <c r="H48" s="2"/>
      <c r="I48" s="2"/>
      <c r="J48" s="2"/>
      <c r="K48" s="2"/>
      <c r="L48" s="2"/>
      <c r="M48" s="2"/>
      <c r="N48" s="2"/>
      <c r="O48" s="49">
        <f>+O42/2</f>
        <v>9.9325000000000004E-3</v>
      </c>
      <c r="P48" s="116">
        <f>+O48*P$8/O$8</f>
        <v>1.0141605263157894E-2</v>
      </c>
      <c r="Q48" s="116">
        <f t="shared" si="10"/>
        <v>1.0222738105263158E-2</v>
      </c>
      <c r="R48" s="116">
        <f t="shared" si="10"/>
        <v>1.0304520010105263E-2</v>
      </c>
      <c r="S48" s="116">
        <f t="shared" si="10"/>
        <v>1.1159200687447959E-2</v>
      </c>
      <c r="T48" s="116">
        <f t="shared" si="10"/>
        <v>1.2084770553176583E-2</v>
      </c>
      <c r="U48" s="116">
        <f t="shared" si="10"/>
        <v>1.308710932022164E-2</v>
      </c>
    </row>
    <row r="49" spans="2:21" ht="13.5" customHeight="1" x14ac:dyDescent="0.25">
      <c r="B49" s="324"/>
      <c r="C49" s="79" t="s">
        <v>438</v>
      </c>
      <c r="D49" s="50" t="str">
        <f>+D43</f>
        <v>Costo manutenzione e riparazioni</v>
      </c>
      <c r="E49" s="50" t="str">
        <f t="shared" si="8"/>
        <v>Euro/veicolo*km</v>
      </c>
      <c r="F49" s="2"/>
      <c r="G49" s="2"/>
      <c r="H49" s="2"/>
      <c r="I49" s="2"/>
      <c r="J49" s="2"/>
      <c r="K49" s="2"/>
      <c r="L49" s="2"/>
      <c r="M49" s="2"/>
      <c r="N49" s="2"/>
      <c r="O49" s="49">
        <f>+O43/4</f>
        <v>1.8162499999999998E-2</v>
      </c>
      <c r="P49" s="116">
        <f>+O49*P$8/O$8</f>
        <v>1.8544868421052629E-2</v>
      </c>
      <c r="Q49" s="116">
        <f t="shared" si="10"/>
        <v>1.869322736842105E-2</v>
      </c>
      <c r="R49" s="116">
        <f t="shared" si="10"/>
        <v>1.884277318736842E-2</v>
      </c>
      <c r="S49" s="116">
        <f t="shared" si="10"/>
        <v>2.0405636293558876E-2</v>
      </c>
      <c r="T49" s="116">
        <f t="shared" si="10"/>
        <v>2.2098126873603793E-2</v>
      </c>
      <c r="U49" s="116">
        <f t="shared" si="10"/>
        <v>2.3930996529426176E-2</v>
      </c>
    </row>
    <row r="50" spans="2:21" ht="13.5" customHeight="1" x14ac:dyDescent="0.25">
      <c r="B50" s="325"/>
      <c r="C50" s="79" t="s">
        <v>233</v>
      </c>
      <c r="D50" s="50" t="str">
        <f>+D44</f>
        <v>Costo medio proporzionale alla percorrenza</v>
      </c>
      <c r="E50" s="50" t="str">
        <f t="shared" si="8"/>
        <v>Euro/veicolo*km</v>
      </c>
      <c r="F50" s="2"/>
      <c r="G50" s="2"/>
      <c r="H50" s="2"/>
      <c r="I50" s="2"/>
      <c r="J50" s="2"/>
      <c r="K50" s="2"/>
      <c r="L50" s="2"/>
      <c r="M50" s="2"/>
      <c r="N50" s="2"/>
      <c r="O50" s="115">
        <f>+SUM(O46:O49)</f>
        <v>0.10559249999999999</v>
      </c>
      <c r="P50" s="116">
        <f t="shared" ref="P50:U50" si="11">+SUM(P46:P49)</f>
        <v>0.10781549999999999</v>
      </c>
      <c r="Q50" s="116">
        <f t="shared" si="11"/>
        <v>0.108678024</v>
      </c>
      <c r="R50" s="116">
        <f t="shared" si="11"/>
        <v>0.109547448192</v>
      </c>
      <c r="S50" s="116">
        <f t="shared" si="11"/>
        <v>0.11863356643235323</v>
      </c>
      <c r="T50" s="116">
        <f t="shared" si="11"/>
        <v>0.1284733082946185</v>
      </c>
      <c r="U50" s="116">
        <f t="shared" si="11"/>
        <v>0.13912918106171693</v>
      </c>
    </row>
    <row r="51" spans="2:21" ht="4.5" customHeight="1" x14ac:dyDescent="0.25">
      <c r="B51" s="4"/>
    </row>
  </sheetData>
  <sheetProtection password="CCFF" sheet="1" objects="1" scenarios="1" selectLockedCells="1" selectUnlockedCells="1"/>
  <mergeCells count="6">
    <mergeCell ref="B46:B50"/>
    <mergeCell ref="B2:J2"/>
    <mergeCell ref="B4:U4"/>
    <mergeCell ref="B8:B11"/>
    <mergeCell ref="B13:B38"/>
    <mergeCell ref="B40:B44"/>
  </mergeCells>
  <phoneticPr fontId="0" type="noConversion"/>
  <pageMargins left="0.7" right="0.7" top="0.75" bottom="0.75" header="0.3" footer="0.3"/>
  <pageSetup paperSize="8"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40"/>
  <sheetViews>
    <sheetView zoomScale="70" zoomScaleNormal="70" workbookViewId="0">
      <selection activeCell="B3" sqref="B3"/>
    </sheetView>
  </sheetViews>
  <sheetFormatPr defaultColWidth="9.140625" defaultRowHeight="13.5" customHeight="1" x14ac:dyDescent="0.25"/>
  <cols>
    <col min="1" max="1" width="0.85546875" style="5" customWidth="1"/>
    <col min="2" max="2" width="8.5703125" style="4" customWidth="1"/>
    <col min="3" max="3" width="57.28515625" style="5" bestFit="1" customWidth="1"/>
    <col min="4" max="4" width="24.7109375" style="5" bestFit="1" customWidth="1"/>
    <col min="5" max="5" width="12.85546875" style="5" customWidth="1"/>
    <col min="6" max="6" width="20.7109375" style="5" bestFit="1" customWidth="1"/>
    <col min="7" max="9" width="12.85546875" style="5" customWidth="1"/>
    <col min="10" max="10" width="20.7109375" style="5" bestFit="1" customWidth="1"/>
    <col min="11" max="12" width="21.5703125" style="5" customWidth="1"/>
    <col min="13" max="13" width="0.85546875" style="5" customWidth="1"/>
    <col min="14" max="14" width="9.140625" style="5"/>
    <col min="15" max="15" width="55.7109375" style="5" bestFit="1" customWidth="1"/>
    <col min="16" max="16384" width="9.140625" style="5"/>
  </cols>
  <sheetData>
    <row r="1" spans="2:15" ht="4.5" customHeight="1" x14ac:dyDescent="0.25"/>
    <row r="2" spans="2:15" ht="23.25" customHeight="1" x14ac:dyDescent="0.25">
      <c r="B2" s="124" t="s">
        <v>778</v>
      </c>
      <c r="C2" s="4"/>
      <c r="D2" s="4"/>
      <c r="E2" s="4"/>
      <c r="F2" s="4"/>
      <c r="G2" s="4"/>
      <c r="H2" s="4"/>
      <c r="L2" s="125" t="s">
        <v>586</v>
      </c>
    </row>
    <row r="3" spans="2:15" ht="4.5" customHeight="1" x14ac:dyDescent="0.25"/>
    <row r="4" spans="2:15" ht="13.5" customHeight="1" x14ac:dyDescent="0.25">
      <c r="B4" s="251" t="s">
        <v>509</v>
      </c>
      <c r="C4" s="251"/>
      <c r="D4" s="251"/>
      <c r="E4" s="251"/>
      <c r="F4" s="251"/>
      <c r="G4" s="251"/>
      <c r="H4" s="251"/>
      <c r="I4" s="251"/>
      <c r="J4" s="251"/>
      <c r="K4" s="251"/>
      <c r="L4" s="251"/>
    </row>
    <row r="5" spans="2:15" ht="4.5" customHeight="1" x14ac:dyDescent="0.25"/>
    <row r="6" spans="2:15" ht="64.5" customHeight="1" x14ac:dyDescent="0.25">
      <c r="B6" s="253" t="s">
        <v>15</v>
      </c>
      <c r="C6" s="252" t="s">
        <v>16</v>
      </c>
      <c r="D6" s="252" t="s">
        <v>2</v>
      </c>
      <c r="E6" s="252" t="s">
        <v>0</v>
      </c>
      <c r="F6" s="252"/>
      <c r="G6" s="252" t="s">
        <v>1</v>
      </c>
      <c r="H6" s="252"/>
      <c r="I6" s="252" t="s">
        <v>26</v>
      </c>
      <c r="J6" s="252"/>
      <c r="K6" s="255" t="s">
        <v>554</v>
      </c>
      <c r="L6" s="256"/>
      <c r="O6" s="212" t="s">
        <v>758</v>
      </c>
    </row>
    <row r="7" spans="2:15" s="6" customFormat="1" ht="13.5" customHeight="1" x14ac:dyDescent="0.25">
      <c r="B7" s="253"/>
      <c r="C7" s="252"/>
      <c r="D7" s="252"/>
      <c r="E7" s="54" t="s">
        <v>235</v>
      </c>
      <c r="F7" s="54">
        <v>2019</v>
      </c>
      <c r="G7" s="54" t="s">
        <v>287</v>
      </c>
      <c r="H7" s="54" t="s">
        <v>288</v>
      </c>
      <c r="I7" s="54" t="s">
        <v>287</v>
      </c>
      <c r="J7" s="54" t="s">
        <v>717</v>
      </c>
      <c r="K7" s="54" t="s">
        <v>552</v>
      </c>
      <c r="L7" s="54" t="s">
        <v>553</v>
      </c>
      <c r="O7" s="213"/>
    </row>
    <row r="8" spans="2:15" ht="4.5" customHeight="1" x14ac:dyDescent="0.25">
      <c r="O8" s="214"/>
    </row>
    <row r="9" spans="2:15" ht="13.5" customHeight="1" x14ac:dyDescent="0.25">
      <c r="B9" s="254" t="s">
        <v>440</v>
      </c>
      <c r="C9" s="254"/>
      <c r="D9" s="254"/>
      <c r="E9" s="254"/>
      <c r="F9" s="254"/>
      <c r="G9" s="254"/>
      <c r="H9" s="254"/>
      <c r="I9" s="254"/>
      <c r="J9" s="254"/>
      <c r="K9" s="254"/>
      <c r="L9" s="254"/>
      <c r="O9" s="214" t="s">
        <v>718</v>
      </c>
    </row>
    <row r="10" spans="2:15" ht="4.5" customHeight="1" x14ac:dyDescent="0.25">
      <c r="O10" s="215"/>
    </row>
    <row r="11" spans="2:15" ht="13.5" customHeight="1" x14ac:dyDescent="0.25">
      <c r="B11" s="259" t="s">
        <v>603</v>
      </c>
      <c r="C11" s="51" t="s">
        <v>555</v>
      </c>
      <c r="D11" s="51" t="s">
        <v>38</v>
      </c>
      <c r="E11" s="147"/>
      <c r="F11" s="190">
        <v>338914.26404893736</v>
      </c>
      <c r="G11" s="142"/>
      <c r="H11" s="142"/>
      <c r="I11" s="142"/>
      <c r="J11" s="185">
        <f>F11+O11</f>
        <v>338914.26404893736</v>
      </c>
      <c r="K11" s="142"/>
      <c r="L11" s="142"/>
      <c r="O11" s="216">
        <v>0</v>
      </c>
    </row>
    <row r="12" spans="2:15" ht="13.5" customHeight="1" x14ac:dyDescent="0.25">
      <c r="B12" s="259"/>
      <c r="C12" s="69" t="s">
        <v>9</v>
      </c>
      <c r="D12" s="70" t="s">
        <v>23</v>
      </c>
      <c r="E12" s="142"/>
      <c r="F12" s="184">
        <v>0.20353972779079246</v>
      </c>
      <c r="G12" s="142"/>
      <c r="H12" s="142"/>
      <c r="I12" s="142"/>
      <c r="J12" s="186">
        <f t="shared" ref="J12:J36" si="0">F12+F12*O12</f>
        <v>0.20353972779079246</v>
      </c>
      <c r="K12" s="142"/>
      <c r="L12" s="142"/>
      <c r="O12" s="216">
        <v>0</v>
      </c>
    </row>
    <row r="13" spans="2:15" ht="13.5" customHeight="1" x14ac:dyDescent="0.25">
      <c r="B13" s="259"/>
      <c r="C13" s="69" t="s">
        <v>10</v>
      </c>
      <c r="D13" s="70" t="str">
        <f>+D12</f>
        <v>%</v>
      </c>
      <c r="E13" s="142"/>
      <c r="F13" s="184">
        <v>7.3277027951865567E-2</v>
      </c>
      <c r="G13" s="142"/>
      <c r="H13" s="142"/>
      <c r="I13" s="142"/>
      <c r="J13" s="186">
        <f t="shared" si="0"/>
        <v>7.3277027951865567E-2</v>
      </c>
      <c r="K13" s="142"/>
      <c r="L13" s="142"/>
      <c r="O13" s="216">
        <v>0</v>
      </c>
    </row>
    <row r="14" spans="2:15" ht="13.5" customHeight="1" x14ac:dyDescent="0.25">
      <c r="B14" s="259"/>
      <c r="C14" s="69" t="s">
        <v>11</v>
      </c>
      <c r="D14" s="70" t="str">
        <f>+D13</f>
        <v>%</v>
      </c>
      <c r="E14" s="142"/>
      <c r="F14" s="184">
        <v>0.14605168696249568</v>
      </c>
      <c r="G14" s="142"/>
      <c r="H14" s="142"/>
      <c r="I14" s="142"/>
      <c r="J14" s="186">
        <f t="shared" si="0"/>
        <v>0.14618032252960775</v>
      </c>
      <c r="K14" s="142"/>
      <c r="L14" s="142"/>
      <c r="O14" s="216">
        <v>8.8075372347531933E-4</v>
      </c>
    </row>
    <row r="15" spans="2:15" ht="13.5" customHeight="1" x14ac:dyDescent="0.25">
      <c r="B15" s="259"/>
      <c r="C15" s="69" t="s">
        <v>12</v>
      </c>
      <c r="D15" s="70" t="str">
        <f>+D14</f>
        <v>%</v>
      </c>
      <c r="E15" s="142"/>
      <c r="F15" s="184">
        <v>1.1542631145896929E-2</v>
      </c>
      <c r="G15" s="142"/>
      <c r="H15" s="142"/>
      <c r="I15" s="142"/>
      <c r="J15" s="186">
        <f t="shared" si="0"/>
        <v>1.1542631145896929E-2</v>
      </c>
      <c r="K15" s="142"/>
      <c r="L15" s="142"/>
      <c r="O15" s="216">
        <v>0</v>
      </c>
    </row>
    <row r="16" spans="2:15" ht="13.5" customHeight="1" x14ac:dyDescent="0.25">
      <c r="B16" s="259"/>
      <c r="C16" s="69" t="s">
        <v>13</v>
      </c>
      <c r="D16" s="70" t="str">
        <f>+D15</f>
        <v>%</v>
      </c>
      <c r="E16" s="142"/>
      <c r="F16" s="184">
        <v>0.56558892614894951</v>
      </c>
      <c r="G16" s="142"/>
      <c r="H16" s="142"/>
      <c r="I16" s="142"/>
      <c r="J16" s="186">
        <f t="shared" si="0"/>
        <v>0.56509078159628745</v>
      </c>
      <c r="K16" s="142"/>
      <c r="L16" s="142"/>
      <c r="O16" s="216">
        <v>-8.8075372347529157E-4</v>
      </c>
    </row>
    <row r="17" spans="2:15" ht="13.5" customHeight="1" x14ac:dyDescent="0.25">
      <c r="B17" s="259"/>
      <c r="C17" s="69" t="s">
        <v>14</v>
      </c>
      <c r="D17" s="70" t="str">
        <f>+D16</f>
        <v>%</v>
      </c>
      <c r="E17" s="142"/>
      <c r="F17" s="221">
        <v>0</v>
      </c>
      <c r="G17" s="142"/>
      <c r="H17" s="142"/>
      <c r="I17" s="142"/>
      <c r="J17" s="186">
        <f t="shared" si="0"/>
        <v>0</v>
      </c>
      <c r="K17" s="142"/>
      <c r="L17" s="142"/>
      <c r="O17" s="216">
        <v>0</v>
      </c>
    </row>
    <row r="18" spans="2:15" ht="13.5" customHeight="1" x14ac:dyDescent="0.25">
      <c r="B18" s="259"/>
      <c r="C18" s="69" t="s">
        <v>289</v>
      </c>
      <c r="D18" s="70" t="s">
        <v>23</v>
      </c>
      <c r="E18" s="142"/>
      <c r="F18" s="221">
        <v>0.6873252167585493</v>
      </c>
      <c r="G18" s="142"/>
      <c r="H18" s="142"/>
      <c r="I18" s="142"/>
      <c r="J18" s="186">
        <f t="shared" si="0"/>
        <v>0.6873252167585493</v>
      </c>
      <c r="K18" s="142"/>
      <c r="L18" s="142"/>
      <c r="O18" s="216">
        <v>0</v>
      </c>
    </row>
    <row r="19" spans="2:15" ht="13.5" customHeight="1" x14ac:dyDescent="0.25">
      <c r="B19" s="259"/>
      <c r="C19" s="69" t="s">
        <v>290</v>
      </c>
      <c r="D19" s="70" t="str">
        <f>+D18</f>
        <v>%</v>
      </c>
      <c r="E19" s="142"/>
      <c r="F19" s="221">
        <v>0.15633739162072538</v>
      </c>
      <c r="G19" s="142"/>
      <c r="H19" s="142"/>
      <c r="I19" s="142"/>
      <c r="J19" s="186">
        <f t="shared" si="0"/>
        <v>0.15633739162072538</v>
      </c>
      <c r="K19" s="142"/>
      <c r="L19" s="142"/>
      <c r="O19" s="216">
        <v>0</v>
      </c>
    </row>
    <row r="20" spans="2:15" ht="13.5" customHeight="1" x14ac:dyDescent="0.25">
      <c r="B20" s="259"/>
      <c r="C20" s="69" t="s">
        <v>291</v>
      </c>
      <c r="D20" s="70" t="str">
        <f>+D19</f>
        <v>%</v>
      </c>
      <c r="E20" s="142"/>
      <c r="F20" s="221">
        <v>0.15633739162072538</v>
      </c>
      <c r="G20" s="142"/>
      <c r="H20" s="142"/>
      <c r="I20" s="142"/>
      <c r="J20" s="186">
        <f t="shared" si="0"/>
        <v>0.15633739162072538</v>
      </c>
      <c r="K20" s="142"/>
      <c r="L20" s="142"/>
      <c r="O20" s="216">
        <v>0</v>
      </c>
    </row>
    <row r="21" spans="2:15" ht="13.5" customHeight="1" x14ac:dyDescent="0.25">
      <c r="B21" s="259"/>
      <c r="C21" s="71" t="s">
        <v>556</v>
      </c>
      <c r="D21" s="51" t="s">
        <v>526</v>
      </c>
      <c r="E21" s="142"/>
      <c r="F21" s="195">
        <v>3.9012631372144586</v>
      </c>
      <c r="G21" s="142"/>
      <c r="H21" s="142"/>
      <c r="I21" s="142"/>
      <c r="J21" s="187">
        <f t="shared" si="0"/>
        <v>3.8990218887919417</v>
      </c>
      <c r="K21" s="142"/>
      <c r="L21" s="142"/>
      <c r="O21" s="216">
        <v>-5.7449301513079476E-4</v>
      </c>
    </row>
    <row r="22" spans="2:15" ht="13.5" customHeight="1" x14ac:dyDescent="0.25">
      <c r="B22" s="259"/>
      <c r="C22" s="69" t="s">
        <v>292</v>
      </c>
      <c r="D22" s="70" t="str">
        <f t="shared" ref="D22:D27" si="1">+D21</f>
        <v>km/spostamento</v>
      </c>
      <c r="E22" s="142"/>
      <c r="F22" s="17">
        <v>0.5</v>
      </c>
      <c r="G22" s="142"/>
      <c r="H22" s="142"/>
      <c r="I22" s="142"/>
      <c r="J22" s="188">
        <f>F22+O22</f>
        <v>0.5</v>
      </c>
      <c r="K22" s="142"/>
      <c r="L22" s="142"/>
      <c r="O22" s="217">
        <v>0</v>
      </c>
    </row>
    <row r="23" spans="2:15" ht="13.5" customHeight="1" x14ac:dyDescent="0.25">
      <c r="B23" s="259"/>
      <c r="C23" s="69" t="s">
        <v>293</v>
      </c>
      <c r="D23" s="70" t="str">
        <f t="shared" si="1"/>
        <v>km/spostamento</v>
      </c>
      <c r="E23" s="142"/>
      <c r="F23" s="17">
        <v>4</v>
      </c>
      <c r="G23" s="142"/>
      <c r="H23" s="142"/>
      <c r="I23" s="142"/>
      <c r="J23" s="188">
        <f t="shared" ref="J23:J30" si="2">F23+O23</f>
        <v>4</v>
      </c>
      <c r="K23" s="142"/>
      <c r="L23" s="142"/>
      <c r="O23" s="217">
        <v>0</v>
      </c>
    </row>
    <row r="24" spans="2:15" ht="13.5" customHeight="1" x14ac:dyDescent="0.25">
      <c r="B24" s="259"/>
      <c r="C24" s="69" t="s">
        <v>294</v>
      </c>
      <c r="D24" s="70" t="str">
        <f t="shared" si="1"/>
        <v>km/spostamento</v>
      </c>
      <c r="E24" s="142"/>
      <c r="F24" s="17">
        <v>4.3280000000000003</v>
      </c>
      <c r="G24" s="142"/>
      <c r="H24" s="142"/>
      <c r="I24" s="142"/>
      <c r="J24" s="188">
        <f t="shared" si="2"/>
        <v>4.3280000000000003</v>
      </c>
      <c r="K24" s="142"/>
      <c r="L24" s="142"/>
      <c r="O24" s="217">
        <v>0</v>
      </c>
    </row>
    <row r="25" spans="2:15" ht="13.5" customHeight="1" x14ac:dyDescent="0.25">
      <c r="B25" s="259"/>
      <c r="C25" s="69" t="s">
        <v>295</v>
      </c>
      <c r="D25" s="70" t="str">
        <f t="shared" si="1"/>
        <v>km/spostamento</v>
      </c>
      <c r="E25" s="142"/>
      <c r="F25" s="17">
        <v>4.9802742962286199</v>
      </c>
      <c r="G25" s="142"/>
      <c r="H25" s="142"/>
      <c r="I25" s="142"/>
      <c r="J25" s="188">
        <f t="shared" si="2"/>
        <v>4.9802742962286199</v>
      </c>
      <c r="K25" s="142"/>
      <c r="L25" s="142"/>
      <c r="O25" s="217">
        <v>0</v>
      </c>
    </row>
    <row r="26" spans="2:15" ht="13.5" customHeight="1" x14ac:dyDescent="0.25">
      <c r="B26" s="259"/>
      <c r="C26" s="69" t="s">
        <v>296</v>
      </c>
      <c r="D26" s="70" t="str">
        <f t="shared" si="1"/>
        <v>km/spostamento</v>
      </c>
      <c r="E26" s="142"/>
      <c r="F26" s="17">
        <v>4.9802742962286199</v>
      </c>
      <c r="G26" s="142"/>
      <c r="H26" s="142"/>
      <c r="I26" s="142"/>
      <c r="J26" s="188">
        <f t="shared" si="2"/>
        <v>4.9802742962286199</v>
      </c>
      <c r="K26" s="142"/>
      <c r="L26" s="142"/>
      <c r="O26" s="217">
        <v>0</v>
      </c>
    </row>
    <row r="27" spans="2:15" ht="13.5" customHeight="1" x14ac:dyDescent="0.25">
      <c r="B27" s="259"/>
      <c r="C27" s="69" t="s">
        <v>297</v>
      </c>
      <c r="D27" s="70" t="str">
        <f t="shared" si="1"/>
        <v>km/spostamento</v>
      </c>
      <c r="E27" s="142"/>
      <c r="F27" s="17">
        <v>0</v>
      </c>
      <c r="G27" s="142"/>
      <c r="H27" s="142"/>
      <c r="I27" s="142"/>
      <c r="J27" s="188">
        <f t="shared" si="2"/>
        <v>0</v>
      </c>
      <c r="K27" s="142"/>
      <c r="L27" s="142"/>
      <c r="O27" s="217">
        <v>0</v>
      </c>
    </row>
    <row r="28" spans="2:15" ht="13.5" customHeight="1" x14ac:dyDescent="0.25">
      <c r="B28" s="259"/>
      <c r="C28" s="71" t="s">
        <v>557</v>
      </c>
      <c r="D28" s="51" t="s">
        <v>540</v>
      </c>
      <c r="E28" s="142"/>
      <c r="F28" s="17">
        <v>4249.92</v>
      </c>
      <c r="G28" s="142"/>
      <c r="H28" s="142"/>
      <c r="I28" s="142"/>
      <c r="J28" s="188">
        <f t="shared" si="2"/>
        <v>4271.92</v>
      </c>
      <c r="K28" s="142"/>
      <c r="L28" s="142"/>
      <c r="O28" s="218">
        <v>22</v>
      </c>
    </row>
    <row r="29" spans="2:15" ht="13.5" customHeight="1" x14ac:dyDescent="0.25">
      <c r="B29" s="259"/>
      <c r="C29" s="71" t="s">
        <v>558</v>
      </c>
      <c r="D29" s="51" t="s">
        <v>540</v>
      </c>
      <c r="E29" s="142"/>
      <c r="F29" s="17">
        <v>19637.952777777802</v>
      </c>
      <c r="G29" s="142"/>
      <c r="H29" s="142"/>
      <c r="I29" s="142"/>
      <c r="J29" s="188">
        <f t="shared" si="2"/>
        <v>19603.127777777801</v>
      </c>
      <c r="K29" s="142"/>
      <c r="L29" s="142"/>
      <c r="O29" s="218">
        <v>-34.825000000000728</v>
      </c>
    </row>
    <row r="30" spans="2:15" ht="13.5" customHeight="1" x14ac:dyDescent="0.25">
      <c r="B30" s="259"/>
      <c r="C30" s="71" t="s">
        <v>541</v>
      </c>
      <c r="D30" s="51" t="s">
        <v>542</v>
      </c>
      <c r="E30" s="142"/>
      <c r="F30" s="17">
        <v>34625.150957962236</v>
      </c>
      <c r="G30" s="142"/>
      <c r="H30" s="142"/>
      <c r="I30" s="142"/>
      <c r="J30" s="188">
        <f t="shared" si="2"/>
        <v>34625.150957962236</v>
      </c>
      <c r="K30" s="142"/>
      <c r="L30" s="142"/>
      <c r="O30" s="217">
        <v>0</v>
      </c>
    </row>
    <row r="31" spans="2:15" ht="13.5" customHeight="1" x14ac:dyDescent="0.25">
      <c r="B31" s="259"/>
      <c r="C31" s="69" t="s">
        <v>9</v>
      </c>
      <c r="D31" s="70" t="str">
        <f>+D12</f>
        <v>%</v>
      </c>
      <c r="E31" s="142"/>
      <c r="F31" s="184">
        <v>0.26176157236010544</v>
      </c>
      <c r="G31" s="142"/>
      <c r="H31" s="142"/>
      <c r="I31" s="142"/>
      <c r="J31" s="186">
        <f t="shared" si="0"/>
        <v>0.26176157236010544</v>
      </c>
      <c r="K31" s="142"/>
      <c r="L31" s="142"/>
      <c r="O31" s="216">
        <v>0</v>
      </c>
    </row>
    <row r="32" spans="2:15" ht="13.5" customHeight="1" x14ac:dyDescent="0.25">
      <c r="B32" s="259"/>
      <c r="C32" s="69" t="s">
        <v>10</v>
      </c>
      <c r="D32" s="70" t="str">
        <f>+D31</f>
        <v>%</v>
      </c>
      <c r="E32" s="142"/>
      <c r="F32" s="184">
        <v>8.617926326509924E-2</v>
      </c>
      <c r="G32" s="142"/>
      <c r="H32" s="142"/>
      <c r="I32" s="142"/>
      <c r="J32" s="186">
        <f t="shared" si="0"/>
        <v>8.617926326509924E-2</v>
      </c>
      <c r="K32" s="142"/>
      <c r="L32" s="142"/>
      <c r="O32" s="216">
        <v>0</v>
      </c>
    </row>
    <row r="33" spans="2:15" ht="13.5" customHeight="1" x14ac:dyDescent="0.25">
      <c r="B33" s="259"/>
      <c r="C33" s="69" t="s">
        <v>11</v>
      </c>
      <c r="D33" s="70" t="str">
        <f>+D32</f>
        <v>%</v>
      </c>
      <c r="E33" s="142"/>
      <c r="F33" s="184">
        <v>0.13851203149475755</v>
      </c>
      <c r="G33" s="142"/>
      <c r="H33" s="142"/>
      <c r="I33" s="142"/>
      <c r="J33" s="186">
        <f t="shared" si="0"/>
        <v>0.13863144134643265</v>
      </c>
      <c r="K33" s="142"/>
      <c r="L33" s="142"/>
      <c r="O33" s="216">
        <v>8.6209010427826249E-4</v>
      </c>
    </row>
    <row r="34" spans="2:15" ht="13.5" customHeight="1" x14ac:dyDescent="0.25">
      <c r="B34" s="259"/>
      <c r="C34" s="69" t="s">
        <v>12</v>
      </c>
      <c r="D34" s="70" t="str">
        <f>+D33</f>
        <v>%</v>
      </c>
      <c r="E34" s="142"/>
      <c r="F34" s="184">
        <v>1.0270942657600755E-2</v>
      </c>
      <c r="G34" s="142"/>
      <c r="H34" s="142"/>
      <c r="I34" s="142"/>
      <c r="J34" s="186">
        <f t="shared" si="0"/>
        <v>1.0270942657600755E-2</v>
      </c>
      <c r="K34" s="142"/>
      <c r="L34" s="142"/>
      <c r="O34" s="216">
        <v>0</v>
      </c>
    </row>
    <row r="35" spans="2:15" ht="13.5" customHeight="1" x14ac:dyDescent="0.25">
      <c r="B35" s="259"/>
      <c r="C35" s="69" t="s">
        <v>13</v>
      </c>
      <c r="D35" s="70" t="str">
        <f>+D34</f>
        <v>%</v>
      </c>
      <c r="E35" s="142"/>
      <c r="F35" s="184">
        <v>0.50327619022243697</v>
      </c>
      <c r="G35" s="142"/>
      <c r="H35" s="142"/>
      <c r="I35" s="142"/>
      <c r="J35" s="186">
        <f t="shared" si="0"/>
        <v>0.50284232079912738</v>
      </c>
      <c r="K35" s="142"/>
      <c r="L35" s="142"/>
      <c r="O35" s="216">
        <v>-8.6209010427817923E-4</v>
      </c>
    </row>
    <row r="36" spans="2:15" ht="13.5" customHeight="1" x14ac:dyDescent="0.25">
      <c r="B36" s="259"/>
      <c r="C36" s="69" t="s">
        <v>14</v>
      </c>
      <c r="D36" s="70" t="str">
        <f>+D35</f>
        <v>%</v>
      </c>
      <c r="E36" s="142"/>
      <c r="F36" s="184">
        <v>0</v>
      </c>
      <c r="G36" s="142"/>
      <c r="H36" s="142"/>
      <c r="I36" s="142"/>
      <c r="J36" s="186">
        <f t="shared" si="0"/>
        <v>0</v>
      </c>
      <c r="K36" s="142"/>
      <c r="L36" s="142"/>
      <c r="O36" s="216">
        <v>0</v>
      </c>
    </row>
    <row r="37" spans="2:15" ht="13.5" customHeight="1" x14ac:dyDescent="0.25">
      <c r="B37" s="259"/>
      <c r="C37" s="71" t="s">
        <v>543</v>
      </c>
      <c r="D37" s="51" t="s">
        <v>526</v>
      </c>
      <c r="E37" s="142"/>
      <c r="F37" s="17">
        <v>3.6326834973341162</v>
      </c>
      <c r="G37" s="142"/>
      <c r="H37" s="142"/>
      <c r="I37" s="142"/>
      <c r="J37" s="188">
        <f>F37+O37</f>
        <v>3.6321211781180622</v>
      </c>
      <c r="K37" s="142"/>
      <c r="L37" s="142"/>
      <c r="O37" s="219">
        <v>-5.6231921605398583E-4</v>
      </c>
    </row>
    <row r="38" spans="2:15" ht="13.5" customHeight="1" x14ac:dyDescent="0.25">
      <c r="B38" s="259"/>
      <c r="C38" s="69" t="s">
        <v>292</v>
      </c>
      <c r="D38" s="70" t="str">
        <f t="shared" ref="D38:D43" si="3">+D37</f>
        <v>km/spostamento</v>
      </c>
      <c r="E38" s="142"/>
      <c r="F38" s="17">
        <v>0.5</v>
      </c>
      <c r="G38" s="142"/>
      <c r="H38" s="142"/>
      <c r="I38" s="142"/>
      <c r="J38" s="188">
        <f t="shared" ref="J38:J45" si="4">F38+O38</f>
        <v>0.5</v>
      </c>
      <c r="K38" s="142"/>
      <c r="L38" s="142"/>
      <c r="O38" s="219">
        <v>0</v>
      </c>
    </row>
    <row r="39" spans="2:15" ht="13.5" customHeight="1" x14ac:dyDescent="0.25">
      <c r="B39" s="259"/>
      <c r="C39" s="69" t="s">
        <v>293</v>
      </c>
      <c r="D39" s="70" t="str">
        <f t="shared" si="3"/>
        <v>km/spostamento</v>
      </c>
      <c r="E39" s="142"/>
      <c r="F39" s="17">
        <v>4</v>
      </c>
      <c r="G39" s="142"/>
      <c r="H39" s="142"/>
      <c r="I39" s="142"/>
      <c r="J39" s="188">
        <f t="shared" si="4"/>
        <v>4</v>
      </c>
      <c r="K39" s="142"/>
      <c r="L39" s="142"/>
      <c r="O39" s="219">
        <v>0</v>
      </c>
    </row>
    <row r="40" spans="2:15" ht="13.5" customHeight="1" x14ac:dyDescent="0.25">
      <c r="B40" s="259"/>
      <c r="C40" s="69" t="s">
        <v>294</v>
      </c>
      <c r="D40" s="70" t="str">
        <f t="shared" si="3"/>
        <v>km/spostamento</v>
      </c>
      <c r="E40" s="142"/>
      <c r="F40" s="17">
        <v>4.3280000000000003</v>
      </c>
      <c r="G40" s="142"/>
      <c r="H40" s="142"/>
      <c r="I40" s="142"/>
      <c r="J40" s="188">
        <f t="shared" si="4"/>
        <v>4.3280000000000003</v>
      </c>
      <c r="K40" s="142"/>
      <c r="L40" s="142"/>
      <c r="O40" s="219">
        <v>0</v>
      </c>
    </row>
    <row r="41" spans="2:15" ht="13.5" customHeight="1" x14ac:dyDescent="0.25">
      <c r="B41" s="259"/>
      <c r="C41" s="69" t="s">
        <v>295</v>
      </c>
      <c r="D41" s="70" t="str">
        <f t="shared" si="3"/>
        <v>km/spostamento</v>
      </c>
      <c r="E41" s="142"/>
      <c r="F41" s="17">
        <v>4.9802742962286199</v>
      </c>
      <c r="G41" s="142"/>
      <c r="H41" s="142"/>
      <c r="I41" s="142"/>
      <c r="J41" s="188">
        <f t="shared" si="4"/>
        <v>4.9802742962286199</v>
      </c>
      <c r="K41" s="142"/>
      <c r="L41" s="142"/>
      <c r="O41" s="219">
        <v>0</v>
      </c>
    </row>
    <row r="42" spans="2:15" ht="13.5" customHeight="1" x14ac:dyDescent="0.25">
      <c r="B42" s="259"/>
      <c r="C42" s="69" t="s">
        <v>296</v>
      </c>
      <c r="D42" s="70" t="str">
        <f t="shared" si="3"/>
        <v>km/spostamento</v>
      </c>
      <c r="E42" s="142"/>
      <c r="F42" s="17">
        <v>4.9802742962286199</v>
      </c>
      <c r="G42" s="142"/>
      <c r="H42" s="142"/>
      <c r="I42" s="142"/>
      <c r="J42" s="188">
        <f t="shared" si="4"/>
        <v>4.9802742962286199</v>
      </c>
      <c r="K42" s="142"/>
      <c r="L42" s="142"/>
      <c r="O42" s="219">
        <v>0</v>
      </c>
    </row>
    <row r="43" spans="2:15" ht="13.5" customHeight="1" x14ac:dyDescent="0.25">
      <c r="B43" s="259"/>
      <c r="C43" s="69" t="s">
        <v>297</v>
      </c>
      <c r="D43" s="70" t="str">
        <f t="shared" si="3"/>
        <v>km/spostamento</v>
      </c>
      <c r="E43" s="142"/>
      <c r="F43" s="17">
        <v>0</v>
      </c>
      <c r="G43" s="142"/>
      <c r="H43" s="142"/>
      <c r="I43" s="142"/>
      <c r="J43" s="188">
        <f t="shared" si="4"/>
        <v>0</v>
      </c>
      <c r="K43" s="142"/>
      <c r="L43" s="142"/>
      <c r="O43" s="219">
        <v>0</v>
      </c>
    </row>
    <row r="44" spans="2:15" ht="13.5" customHeight="1" x14ac:dyDescent="0.25">
      <c r="B44" s="259"/>
      <c r="C44" s="71" t="s">
        <v>544</v>
      </c>
      <c r="D44" s="51" t="s">
        <v>545</v>
      </c>
      <c r="E44" s="142"/>
      <c r="F44" s="17">
        <v>531.24</v>
      </c>
      <c r="G44" s="142"/>
      <c r="H44" s="142"/>
      <c r="I44" s="142"/>
      <c r="J44" s="188">
        <f t="shared" si="4"/>
        <v>533.44000000000005</v>
      </c>
      <c r="K44" s="142"/>
      <c r="L44" s="142"/>
      <c r="O44" s="218">
        <v>2.2000000000000455</v>
      </c>
    </row>
    <row r="45" spans="2:15" ht="13.5" customHeight="1" x14ac:dyDescent="0.25">
      <c r="B45" s="259"/>
      <c r="C45" s="71" t="s">
        <v>546</v>
      </c>
      <c r="D45" s="51" t="s">
        <v>545</v>
      </c>
      <c r="E45" s="142"/>
      <c r="F45" s="17">
        <v>1963.7952777777803</v>
      </c>
      <c r="G45" s="142"/>
      <c r="H45" s="142"/>
      <c r="I45" s="142"/>
      <c r="J45" s="188">
        <f t="shared" si="4"/>
        <v>1960.3127777777802</v>
      </c>
      <c r="K45" s="142"/>
      <c r="L45" s="142"/>
      <c r="O45" s="218">
        <v>-3.4825000000000728</v>
      </c>
    </row>
    <row r="46" spans="2:15" ht="4.5" customHeight="1" x14ac:dyDescent="0.25">
      <c r="E46" s="9"/>
      <c r="F46" s="9"/>
      <c r="G46" s="9"/>
      <c r="H46" s="9"/>
      <c r="I46" s="9"/>
      <c r="J46" s="9"/>
      <c r="K46" s="9"/>
      <c r="L46" s="9"/>
      <c r="O46" s="214"/>
    </row>
    <row r="47" spans="2:15" ht="13.5" customHeight="1" x14ac:dyDescent="0.25">
      <c r="B47" s="259" t="s">
        <v>605</v>
      </c>
      <c r="C47" s="71" t="s">
        <v>555</v>
      </c>
      <c r="D47" s="51" t="str">
        <f>+D13</f>
        <v>%</v>
      </c>
      <c r="E47" s="142"/>
      <c r="F47" s="191">
        <v>338914.26404893736</v>
      </c>
      <c r="G47" s="142"/>
      <c r="H47" s="142"/>
      <c r="I47" s="142"/>
      <c r="J47" s="191">
        <f>F47+O47</f>
        <v>338914.26404893736</v>
      </c>
      <c r="K47" s="142"/>
      <c r="L47" s="142"/>
      <c r="O47" s="214"/>
    </row>
    <row r="48" spans="2:15" ht="13.5" customHeight="1" x14ac:dyDescent="0.25">
      <c r="B48" s="259"/>
      <c r="C48" s="69" t="str">
        <f t="shared" ref="C48:D67" si="5">+C12</f>
        <v>di cui a piedi</v>
      </c>
      <c r="D48" s="70" t="str">
        <f t="shared" si="5"/>
        <v>%</v>
      </c>
      <c r="E48" s="142"/>
      <c r="F48" s="192">
        <v>0.20353972779079246</v>
      </c>
      <c r="G48" s="142"/>
      <c r="H48" s="142"/>
      <c r="I48" s="142"/>
      <c r="J48" s="192">
        <f t="shared" ref="J48:J72" si="6">F48+F48*O48</f>
        <v>0.20353972779079246</v>
      </c>
      <c r="K48" s="142"/>
      <c r="L48" s="142"/>
      <c r="O48" s="214"/>
    </row>
    <row r="49" spans="2:15" ht="13.5" customHeight="1" x14ac:dyDescent="0.25">
      <c r="B49" s="259"/>
      <c r="C49" s="69" t="str">
        <f t="shared" si="5"/>
        <v>di cui in bicicletta</v>
      </c>
      <c r="D49" s="70" t="str">
        <f t="shared" si="5"/>
        <v>%</v>
      </c>
      <c r="E49" s="142"/>
      <c r="F49" s="192">
        <v>7.3277027951865567E-2</v>
      </c>
      <c r="G49" s="142"/>
      <c r="H49" s="142"/>
      <c r="I49" s="142"/>
      <c r="J49" s="192">
        <f t="shared" si="6"/>
        <v>7.3277027951865567E-2</v>
      </c>
      <c r="K49" s="142"/>
      <c r="L49" s="142"/>
      <c r="O49" s="214"/>
    </row>
    <row r="50" spans="2:15" ht="13.5" customHeight="1" x14ac:dyDescent="0.25">
      <c r="B50" s="259"/>
      <c r="C50" s="69" t="str">
        <f t="shared" si="5"/>
        <v xml:space="preserve">di cui in trasporto pubblico </v>
      </c>
      <c r="D50" s="70" t="str">
        <f t="shared" si="5"/>
        <v>%</v>
      </c>
      <c r="E50" s="142"/>
      <c r="F50" s="192">
        <v>0.14605168696249568</v>
      </c>
      <c r="G50" s="142"/>
      <c r="H50" s="142"/>
      <c r="I50" s="142"/>
      <c r="J50" s="192">
        <f t="shared" si="6"/>
        <v>0.14605168696249568</v>
      </c>
      <c r="K50" s="142"/>
      <c r="L50" s="142"/>
      <c r="O50" s="214"/>
    </row>
    <row r="51" spans="2:15" ht="13.5" customHeight="1" x14ac:dyDescent="0.25">
      <c r="B51" s="259"/>
      <c r="C51" s="69" t="str">
        <f t="shared" si="5"/>
        <v>di cui in moto</v>
      </c>
      <c r="D51" s="70" t="str">
        <f t="shared" si="5"/>
        <v>%</v>
      </c>
      <c r="E51" s="142"/>
      <c r="F51" s="192">
        <v>1.1542631145896929E-2</v>
      </c>
      <c r="G51" s="142"/>
      <c r="H51" s="142"/>
      <c r="I51" s="142"/>
      <c r="J51" s="192">
        <f t="shared" si="6"/>
        <v>1.1542631145896929E-2</v>
      </c>
      <c r="K51" s="142"/>
      <c r="L51" s="142"/>
      <c r="O51" s="214"/>
    </row>
    <row r="52" spans="2:15" ht="13.5" customHeight="1" x14ac:dyDescent="0.25">
      <c r="B52" s="259"/>
      <c r="C52" s="69" t="str">
        <f t="shared" si="5"/>
        <v>di cui in auto</v>
      </c>
      <c r="D52" s="70" t="str">
        <f t="shared" si="5"/>
        <v>%</v>
      </c>
      <c r="E52" s="142"/>
      <c r="F52" s="192">
        <v>0.56558892614894951</v>
      </c>
      <c r="G52" s="142"/>
      <c r="H52" s="142"/>
      <c r="I52" s="142"/>
      <c r="J52" s="192">
        <f t="shared" si="6"/>
        <v>0.56558892614894951</v>
      </c>
      <c r="K52" s="142"/>
      <c r="L52" s="142"/>
      <c r="O52" s="214"/>
    </row>
    <row r="53" spans="2:15" ht="13.5" customHeight="1" x14ac:dyDescent="0.25">
      <c r="B53" s="259"/>
      <c r="C53" s="69" t="str">
        <f t="shared" si="5"/>
        <v>di cui altro (e.g. taxi, car-sharing/pooling)</v>
      </c>
      <c r="D53" s="70" t="str">
        <f t="shared" si="5"/>
        <v>%</v>
      </c>
      <c r="E53" s="142"/>
      <c r="F53" s="192">
        <v>0</v>
      </c>
      <c r="G53" s="142"/>
      <c r="H53" s="142"/>
      <c r="I53" s="142"/>
      <c r="J53" s="192">
        <f t="shared" si="6"/>
        <v>0</v>
      </c>
      <c r="K53" s="142"/>
      <c r="L53" s="142"/>
      <c r="O53" s="214"/>
    </row>
    <row r="54" spans="2:15" ht="13.5" customHeight="1" x14ac:dyDescent="0.25">
      <c r="B54" s="259"/>
      <c r="C54" s="69" t="str">
        <f t="shared" si="5"/>
        <v>di cui sistematici casa-studio/lavoro</v>
      </c>
      <c r="D54" s="70" t="str">
        <f t="shared" si="5"/>
        <v>%</v>
      </c>
      <c r="E54" s="142"/>
      <c r="F54" s="192">
        <v>0.6873252167585493</v>
      </c>
      <c r="G54" s="142"/>
      <c r="H54" s="142"/>
      <c r="I54" s="142"/>
      <c r="J54" s="192">
        <f t="shared" si="6"/>
        <v>0.6873252167585493</v>
      </c>
      <c r="K54" s="142"/>
      <c r="L54" s="142"/>
      <c r="O54" s="214"/>
    </row>
    <row r="55" spans="2:15" ht="13.5" customHeight="1" x14ac:dyDescent="0.25">
      <c r="B55" s="259"/>
      <c r="C55" s="69" t="str">
        <f t="shared" si="5"/>
        <v>di cui occasionali per affari</v>
      </c>
      <c r="D55" s="70" t="str">
        <f t="shared" si="5"/>
        <v>%</v>
      </c>
      <c r="E55" s="142"/>
      <c r="F55" s="192">
        <v>0.15633739162072538</v>
      </c>
      <c r="G55" s="142"/>
      <c r="H55" s="142"/>
      <c r="I55" s="142"/>
      <c r="J55" s="192">
        <f t="shared" si="6"/>
        <v>0.15633739162072538</v>
      </c>
      <c r="K55" s="142"/>
      <c r="L55" s="142"/>
      <c r="O55" s="214"/>
    </row>
    <row r="56" spans="2:15" ht="13.5" customHeight="1" x14ac:dyDescent="0.25">
      <c r="B56" s="259"/>
      <c r="C56" s="69" t="str">
        <f t="shared" si="5"/>
        <v>di cui occasionali per altri motivi</v>
      </c>
      <c r="D56" s="70" t="str">
        <f t="shared" si="5"/>
        <v>%</v>
      </c>
      <c r="E56" s="142"/>
      <c r="F56" s="192">
        <v>0.15633739162072538</v>
      </c>
      <c r="G56" s="142"/>
      <c r="H56" s="142"/>
      <c r="I56" s="142"/>
      <c r="J56" s="192">
        <f t="shared" si="6"/>
        <v>0.15633739162072538</v>
      </c>
      <c r="K56" s="142"/>
      <c r="L56" s="142"/>
      <c r="O56" s="214"/>
    </row>
    <row r="57" spans="2:15" ht="13.5" customHeight="1" x14ac:dyDescent="0.25">
      <c r="B57" s="259"/>
      <c r="C57" s="71" t="str">
        <f t="shared" si="5"/>
        <v>Lunghezza media degli spostamenti in un giorno lavorativo</v>
      </c>
      <c r="D57" s="51" t="str">
        <f t="shared" si="5"/>
        <v>km/spostamento</v>
      </c>
      <c r="E57" s="142"/>
      <c r="F57" s="193">
        <v>3.9012631372144586</v>
      </c>
      <c r="G57" s="142"/>
      <c r="H57" s="142"/>
      <c r="I57" s="142"/>
      <c r="J57" s="148">
        <f t="shared" si="6"/>
        <v>3.9012631372144586</v>
      </c>
      <c r="K57" s="142"/>
      <c r="L57" s="142"/>
      <c r="O57" s="214"/>
    </row>
    <row r="58" spans="2:15" ht="13.5" customHeight="1" x14ac:dyDescent="0.25">
      <c r="B58" s="259"/>
      <c r="C58" s="69" t="str">
        <f t="shared" si="5"/>
        <v>a piedi</v>
      </c>
      <c r="D58" s="70" t="str">
        <f t="shared" si="5"/>
        <v>km/spostamento</v>
      </c>
      <c r="E58" s="142"/>
      <c r="F58" s="193">
        <v>0.5</v>
      </c>
      <c r="G58" s="142"/>
      <c r="H58" s="142"/>
      <c r="I58" s="142"/>
      <c r="J58" s="168">
        <f>F58+O58</f>
        <v>0.5</v>
      </c>
      <c r="K58" s="142"/>
      <c r="L58" s="142"/>
      <c r="O58" s="214"/>
    </row>
    <row r="59" spans="2:15" ht="13.5" customHeight="1" x14ac:dyDescent="0.25">
      <c r="B59" s="259"/>
      <c r="C59" s="69" t="str">
        <f t="shared" si="5"/>
        <v>in bicicletta</v>
      </c>
      <c r="D59" s="70" t="str">
        <f t="shared" si="5"/>
        <v>km/spostamento</v>
      </c>
      <c r="E59" s="142"/>
      <c r="F59" s="193">
        <v>4</v>
      </c>
      <c r="G59" s="142"/>
      <c r="H59" s="142"/>
      <c r="I59" s="142"/>
      <c r="J59" s="168">
        <f t="shared" ref="J59:J66" si="7">F59+O59</f>
        <v>4</v>
      </c>
      <c r="K59" s="142"/>
      <c r="L59" s="142"/>
      <c r="O59" s="214"/>
    </row>
    <row r="60" spans="2:15" ht="13.5" customHeight="1" x14ac:dyDescent="0.25">
      <c r="B60" s="259"/>
      <c r="C60" s="69" t="str">
        <f t="shared" si="5"/>
        <v xml:space="preserve">in trasporto pubblico </v>
      </c>
      <c r="D60" s="70" t="str">
        <f t="shared" si="5"/>
        <v>km/spostamento</v>
      </c>
      <c r="E60" s="142"/>
      <c r="F60" s="193">
        <v>4.3280000000000003</v>
      </c>
      <c r="G60" s="142"/>
      <c r="H60" s="142"/>
      <c r="I60" s="142"/>
      <c r="J60" s="168">
        <f t="shared" si="7"/>
        <v>4.3280000000000003</v>
      </c>
      <c r="K60" s="142"/>
      <c r="L60" s="142"/>
      <c r="O60" s="214"/>
    </row>
    <row r="61" spans="2:15" ht="13.5" customHeight="1" x14ac:dyDescent="0.25">
      <c r="B61" s="259"/>
      <c r="C61" s="69" t="str">
        <f t="shared" si="5"/>
        <v>in moto</v>
      </c>
      <c r="D61" s="70" t="str">
        <f t="shared" si="5"/>
        <v>km/spostamento</v>
      </c>
      <c r="E61" s="142"/>
      <c r="F61" s="193">
        <v>4.9802742962286199</v>
      </c>
      <c r="G61" s="142"/>
      <c r="H61" s="142"/>
      <c r="I61" s="142"/>
      <c r="J61" s="168">
        <f t="shared" si="7"/>
        <v>4.9802742962286199</v>
      </c>
      <c r="K61" s="142"/>
      <c r="L61" s="142"/>
      <c r="O61" s="214"/>
    </row>
    <row r="62" spans="2:15" ht="13.5" customHeight="1" x14ac:dyDescent="0.25">
      <c r="B62" s="259"/>
      <c r="C62" s="69" t="str">
        <f t="shared" si="5"/>
        <v>in auto</v>
      </c>
      <c r="D62" s="70" t="str">
        <f t="shared" si="5"/>
        <v>km/spostamento</v>
      </c>
      <c r="E62" s="142"/>
      <c r="F62" s="193">
        <v>4.9802742962286199</v>
      </c>
      <c r="G62" s="142"/>
      <c r="H62" s="142"/>
      <c r="I62" s="142"/>
      <c r="J62" s="168">
        <f t="shared" si="7"/>
        <v>4.9802742962286199</v>
      </c>
      <c r="K62" s="142"/>
      <c r="L62" s="142"/>
      <c r="O62" s="214"/>
    </row>
    <row r="63" spans="2:15" ht="13.5" customHeight="1" x14ac:dyDescent="0.25">
      <c r="B63" s="259"/>
      <c r="C63" s="69" t="str">
        <f t="shared" si="5"/>
        <v>altro (e.g. taxi, car-sharing/pooling)</v>
      </c>
      <c r="D63" s="70" t="str">
        <f t="shared" si="5"/>
        <v>km/spostamento</v>
      </c>
      <c r="E63" s="142"/>
      <c r="F63" s="193">
        <v>0</v>
      </c>
      <c r="G63" s="142"/>
      <c r="H63" s="142"/>
      <c r="I63" s="142"/>
      <c r="J63" s="168">
        <f t="shared" si="7"/>
        <v>0</v>
      </c>
      <c r="K63" s="142"/>
      <c r="L63" s="142"/>
      <c r="O63" s="214"/>
    </row>
    <row r="64" spans="2:15" ht="13.5" customHeight="1" x14ac:dyDescent="0.25">
      <c r="B64" s="259"/>
      <c r="C64" s="71" t="str">
        <f t="shared" si="5"/>
        <v>Tempo di spostamento totale sulla rete TPL in un giorno lavorativo</v>
      </c>
      <c r="D64" s="51" t="str">
        <f t="shared" si="5"/>
        <v>Spostamenti*h/giorno</v>
      </c>
      <c r="E64" s="142"/>
      <c r="F64" s="193">
        <v>4249.92</v>
      </c>
      <c r="G64" s="142"/>
      <c r="H64" s="142"/>
      <c r="I64" s="142"/>
      <c r="J64" s="168">
        <f t="shared" si="7"/>
        <v>4249.92</v>
      </c>
      <c r="K64" s="142"/>
      <c r="L64" s="142"/>
      <c r="O64" s="214"/>
    </row>
    <row r="65" spans="2:15" ht="13.5" customHeight="1" x14ac:dyDescent="0.25">
      <c r="B65" s="259"/>
      <c r="C65" s="71" t="str">
        <f t="shared" si="5"/>
        <v>Tempo di spostamento totale sulla rete stradale in un giorno lavorativo</v>
      </c>
      <c r="D65" s="51" t="str">
        <f t="shared" si="5"/>
        <v>Spostamenti*h/giorno</v>
      </c>
      <c r="E65" s="142"/>
      <c r="F65" s="193">
        <v>19637.952777777802</v>
      </c>
      <c r="G65" s="142"/>
      <c r="H65" s="142"/>
      <c r="I65" s="142"/>
      <c r="J65" s="168">
        <f t="shared" si="7"/>
        <v>19637.952777777802</v>
      </c>
      <c r="K65" s="142"/>
      <c r="L65" s="142"/>
      <c r="O65" s="214"/>
    </row>
    <row r="66" spans="2:15" ht="13.5" customHeight="1" x14ac:dyDescent="0.25">
      <c r="B66" s="259"/>
      <c r="C66" s="71" t="str">
        <f t="shared" si="5"/>
        <v>Mobilità nell'area di studio nell'h di punta</v>
      </c>
      <c r="D66" s="51" t="str">
        <f t="shared" si="5"/>
        <v>Spostamenti/h (in O o D)</v>
      </c>
      <c r="E66" s="142"/>
      <c r="F66" s="193">
        <v>34625.150957962236</v>
      </c>
      <c r="G66" s="142"/>
      <c r="H66" s="142"/>
      <c r="I66" s="142"/>
      <c r="J66" s="168">
        <f t="shared" si="7"/>
        <v>34625.150957962236</v>
      </c>
      <c r="K66" s="142"/>
      <c r="L66" s="142"/>
      <c r="O66" s="214"/>
    </row>
    <row r="67" spans="2:15" ht="13.5" customHeight="1" x14ac:dyDescent="0.25">
      <c r="B67" s="259"/>
      <c r="C67" s="69" t="str">
        <f t="shared" si="5"/>
        <v>di cui a piedi</v>
      </c>
      <c r="D67" s="70" t="str">
        <f t="shared" si="5"/>
        <v>%</v>
      </c>
      <c r="E67" s="142"/>
      <c r="F67" s="192">
        <v>0.26176157236010544</v>
      </c>
      <c r="G67" s="142"/>
      <c r="H67" s="142"/>
      <c r="I67" s="142"/>
      <c r="J67" s="192">
        <f t="shared" si="6"/>
        <v>0.26176157236010544</v>
      </c>
      <c r="K67" s="142"/>
      <c r="L67" s="142"/>
      <c r="O67" s="214"/>
    </row>
    <row r="68" spans="2:15" ht="13.5" customHeight="1" x14ac:dyDescent="0.25">
      <c r="B68" s="259"/>
      <c r="C68" s="69" t="str">
        <f t="shared" ref="C68:D81" si="8">+C32</f>
        <v>di cui in bicicletta</v>
      </c>
      <c r="D68" s="70" t="str">
        <f t="shared" si="8"/>
        <v>%</v>
      </c>
      <c r="E68" s="142"/>
      <c r="F68" s="192">
        <v>8.617926326509924E-2</v>
      </c>
      <c r="G68" s="142"/>
      <c r="H68" s="142"/>
      <c r="I68" s="142"/>
      <c r="J68" s="192">
        <f t="shared" si="6"/>
        <v>8.617926326509924E-2</v>
      </c>
      <c r="K68" s="142"/>
      <c r="L68" s="142"/>
      <c r="O68" s="214"/>
    </row>
    <row r="69" spans="2:15" ht="13.5" customHeight="1" x14ac:dyDescent="0.25">
      <c r="B69" s="259"/>
      <c r="C69" s="69" t="str">
        <f t="shared" si="8"/>
        <v xml:space="preserve">di cui in trasporto pubblico </v>
      </c>
      <c r="D69" s="70" t="str">
        <f t="shared" si="8"/>
        <v>%</v>
      </c>
      <c r="E69" s="142"/>
      <c r="F69" s="192">
        <v>0.13851203149475755</v>
      </c>
      <c r="G69" s="142"/>
      <c r="H69" s="142"/>
      <c r="I69" s="142"/>
      <c r="J69" s="192">
        <f t="shared" si="6"/>
        <v>0.13851203149475755</v>
      </c>
      <c r="K69" s="142"/>
      <c r="L69" s="142"/>
      <c r="O69" s="214"/>
    </row>
    <row r="70" spans="2:15" ht="13.5" customHeight="1" x14ac:dyDescent="0.25">
      <c r="B70" s="259"/>
      <c r="C70" s="69" t="str">
        <f t="shared" si="8"/>
        <v>di cui in moto</v>
      </c>
      <c r="D70" s="70" t="str">
        <f t="shared" si="8"/>
        <v>%</v>
      </c>
      <c r="E70" s="142"/>
      <c r="F70" s="192">
        <v>1.0270942657600755E-2</v>
      </c>
      <c r="G70" s="142"/>
      <c r="H70" s="142"/>
      <c r="I70" s="142"/>
      <c r="J70" s="192">
        <f t="shared" si="6"/>
        <v>1.0270942657600755E-2</v>
      </c>
      <c r="K70" s="142"/>
      <c r="L70" s="142"/>
      <c r="O70" s="214"/>
    </row>
    <row r="71" spans="2:15" ht="13.5" customHeight="1" x14ac:dyDescent="0.25">
      <c r="B71" s="259"/>
      <c r="C71" s="69" t="str">
        <f t="shared" si="8"/>
        <v>di cui in auto</v>
      </c>
      <c r="D71" s="70" t="str">
        <f t="shared" si="8"/>
        <v>%</v>
      </c>
      <c r="E71" s="142"/>
      <c r="F71" s="192">
        <v>0.50327619022243697</v>
      </c>
      <c r="G71" s="142"/>
      <c r="H71" s="142"/>
      <c r="I71" s="142"/>
      <c r="J71" s="192">
        <f t="shared" si="6"/>
        <v>0.50327619022243697</v>
      </c>
      <c r="K71" s="142"/>
      <c r="L71" s="142"/>
      <c r="O71" s="214"/>
    </row>
    <row r="72" spans="2:15" ht="13.5" customHeight="1" x14ac:dyDescent="0.25">
      <c r="B72" s="259"/>
      <c r="C72" s="69" t="str">
        <f t="shared" si="8"/>
        <v>di cui altro (e.g. taxi, car-sharing/pooling)</v>
      </c>
      <c r="D72" s="70" t="str">
        <f t="shared" si="8"/>
        <v>%</v>
      </c>
      <c r="E72" s="142"/>
      <c r="F72" s="192">
        <v>0</v>
      </c>
      <c r="G72" s="142"/>
      <c r="H72" s="142"/>
      <c r="I72" s="142"/>
      <c r="J72" s="192">
        <f t="shared" si="6"/>
        <v>0</v>
      </c>
      <c r="K72" s="142"/>
      <c r="L72" s="142"/>
      <c r="O72" s="214"/>
    </row>
    <row r="73" spans="2:15" ht="13.5" customHeight="1" x14ac:dyDescent="0.25">
      <c r="B73" s="259"/>
      <c r="C73" s="71" t="str">
        <f t="shared" si="8"/>
        <v>Lunghezza media degli spostamenti nell'h di punta</v>
      </c>
      <c r="D73" s="51" t="str">
        <f t="shared" si="8"/>
        <v>km/spostamento</v>
      </c>
      <c r="E73" s="142"/>
      <c r="F73" s="193">
        <v>3.6326834973341162</v>
      </c>
      <c r="G73" s="142"/>
      <c r="H73" s="142"/>
      <c r="I73" s="142"/>
      <c r="J73" s="168">
        <f>F73+O73</f>
        <v>3.6326834973341162</v>
      </c>
      <c r="K73" s="142"/>
      <c r="L73" s="142"/>
      <c r="O73" s="214"/>
    </row>
    <row r="74" spans="2:15" ht="13.5" customHeight="1" x14ac:dyDescent="0.25">
      <c r="B74" s="259"/>
      <c r="C74" s="69" t="str">
        <f t="shared" si="8"/>
        <v>a piedi</v>
      </c>
      <c r="D74" s="70" t="str">
        <f t="shared" si="8"/>
        <v>km/spostamento</v>
      </c>
      <c r="E74" s="142"/>
      <c r="F74" s="193">
        <v>0.5</v>
      </c>
      <c r="G74" s="142"/>
      <c r="H74" s="142"/>
      <c r="I74" s="142"/>
      <c r="J74" s="168">
        <f t="shared" ref="J74:J81" si="9">F74+O74</f>
        <v>0.5</v>
      </c>
      <c r="K74" s="142"/>
      <c r="L74" s="142"/>
      <c r="O74" s="214"/>
    </row>
    <row r="75" spans="2:15" ht="13.5" customHeight="1" x14ac:dyDescent="0.25">
      <c r="B75" s="259"/>
      <c r="C75" s="69" t="str">
        <f t="shared" si="8"/>
        <v>in bicicletta</v>
      </c>
      <c r="D75" s="70" t="str">
        <f t="shared" si="8"/>
        <v>km/spostamento</v>
      </c>
      <c r="E75" s="142"/>
      <c r="F75" s="193">
        <v>4</v>
      </c>
      <c r="G75" s="142"/>
      <c r="H75" s="142"/>
      <c r="I75" s="142"/>
      <c r="J75" s="168">
        <f t="shared" si="9"/>
        <v>4</v>
      </c>
      <c r="K75" s="142"/>
      <c r="L75" s="142"/>
      <c r="O75" s="214"/>
    </row>
    <row r="76" spans="2:15" ht="13.5" customHeight="1" x14ac:dyDescent="0.25">
      <c r="B76" s="259"/>
      <c r="C76" s="69" t="str">
        <f t="shared" si="8"/>
        <v xml:space="preserve">in trasporto pubblico </v>
      </c>
      <c r="D76" s="70" t="str">
        <f t="shared" si="8"/>
        <v>km/spostamento</v>
      </c>
      <c r="E76" s="142"/>
      <c r="F76" s="193">
        <v>4.3280000000000003</v>
      </c>
      <c r="G76" s="142"/>
      <c r="H76" s="142"/>
      <c r="I76" s="142"/>
      <c r="J76" s="168">
        <f t="shared" si="9"/>
        <v>4.3280000000000003</v>
      </c>
      <c r="K76" s="142"/>
      <c r="L76" s="142"/>
      <c r="O76" s="214"/>
    </row>
    <row r="77" spans="2:15" ht="13.5" customHeight="1" x14ac:dyDescent="0.25">
      <c r="B77" s="259"/>
      <c r="C77" s="69" t="str">
        <f t="shared" si="8"/>
        <v>in moto</v>
      </c>
      <c r="D77" s="70" t="str">
        <f t="shared" si="8"/>
        <v>km/spostamento</v>
      </c>
      <c r="E77" s="142"/>
      <c r="F77" s="193">
        <v>4.9802742962286199</v>
      </c>
      <c r="G77" s="142"/>
      <c r="H77" s="142"/>
      <c r="I77" s="142"/>
      <c r="J77" s="168">
        <f t="shared" si="9"/>
        <v>4.9802742962286199</v>
      </c>
      <c r="K77" s="142"/>
      <c r="L77" s="142"/>
      <c r="O77" s="214"/>
    </row>
    <row r="78" spans="2:15" ht="13.5" customHeight="1" x14ac:dyDescent="0.25">
      <c r="B78" s="259"/>
      <c r="C78" s="69" t="str">
        <f t="shared" si="8"/>
        <v>in auto</v>
      </c>
      <c r="D78" s="70" t="str">
        <f t="shared" si="8"/>
        <v>km/spostamento</v>
      </c>
      <c r="E78" s="142"/>
      <c r="F78" s="193">
        <v>4.9802742962286199</v>
      </c>
      <c r="G78" s="142"/>
      <c r="H78" s="142"/>
      <c r="I78" s="142"/>
      <c r="J78" s="168">
        <f t="shared" si="9"/>
        <v>4.9802742962286199</v>
      </c>
      <c r="K78" s="142"/>
      <c r="L78" s="142"/>
      <c r="O78" s="214"/>
    </row>
    <row r="79" spans="2:15" ht="13.5" customHeight="1" x14ac:dyDescent="0.25">
      <c r="B79" s="259"/>
      <c r="C79" s="69" t="str">
        <f t="shared" si="8"/>
        <v>altro (e.g. taxi, car-sharing/pooling)</v>
      </c>
      <c r="D79" s="70" t="str">
        <f t="shared" si="8"/>
        <v>km/spostamento</v>
      </c>
      <c r="E79" s="142"/>
      <c r="F79" s="193">
        <v>0</v>
      </c>
      <c r="G79" s="142"/>
      <c r="H79" s="142"/>
      <c r="I79" s="142"/>
      <c r="J79" s="168">
        <f t="shared" si="9"/>
        <v>0</v>
      </c>
      <c r="K79" s="142"/>
      <c r="L79" s="142"/>
      <c r="O79" s="214"/>
    </row>
    <row r="80" spans="2:15" ht="13.5" customHeight="1" x14ac:dyDescent="0.25">
      <c r="B80" s="259"/>
      <c r="C80" s="71" t="str">
        <f t="shared" si="8"/>
        <v>Tempo di spostamento totale sulla rete TPL nell'h di punta</v>
      </c>
      <c r="D80" s="51" t="str">
        <f t="shared" si="8"/>
        <v>Spostamenti*h/h</v>
      </c>
      <c r="E80" s="142"/>
      <c r="F80" s="193">
        <v>531.24</v>
      </c>
      <c r="G80" s="142"/>
      <c r="H80" s="142"/>
      <c r="I80" s="142"/>
      <c r="J80" s="168">
        <f t="shared" si="9"/>
        <v>531.24</v>
      </c>
      <c r="K80" s="142"/>
      <c r="L80" s="142"/>
      <c r="O80" s="214"/>
    </row>
    <row r="81" spans="2:15" ht="13.5" customHeight="1" x14ac:dyDescent="0.25">
      <c r="B81" s="259"/>
      <c r="C81" s="71" t="str">
        <f t="shared" si="8"/>
        <v>Tempo di spostamento totale sulla rete stradale nell'h di punta</v>
      </c>
      <c r="D81" s="51" t="str">
        <f t="shared" si="8"/>
        <v>Spostamenti*h/h</v>
      </c>
      <c r="E81" s="142"/>
      <c r="F81" s="193">
        <v>1963.7952777777803</v>
      </c>
      <c r="G81" s="142"/>
      <c r="H81" s="142"/>
      <c r="I81" s="142"/>
      <c r="J81" s="168">
        <f t="shared" si="9"/>
        <v>1963.7952777777803</v>
      </c>
      <c r="K81" s="142"/>
      <c r="L81" s="142"/>
      <c r="O81" s="214"/>
    </row>
    <row r="82" spans="2:15" ht="4.5" customHeight="1" x14ac:dyDescent="0.25">
      <c r="O82" s="214"/>
    </row>
    <row r="83" spans="2:15" ht="13.5" customHeight="1" x14ac:dyDescent="0.25">
      <c r="B83" s="254" t="s">
        <v>441</v>
      </c>
      <c r="C83" s="254"/>
      <c r="D83" s="254"/>
      <c r="E83" s="254"/>
      <c r="F83" s="254"/>
      <c r="G83" s="254"/>
      <c r="H83" s="254"/>
      <c r="I83" s="254"/>
      <c r="J83" s="254"/>
      <c r="K83" s="254"/>
      <c r="L83" s="254"/>
      <c r="O83" s="214"/>
    </row>
    <row r="84" spans="2:15" ht="4.5" customHeight="1" x14ac:dyDescent="0.25">
      <c r="O84" s="214"/>
    </row>
    <row r="85" spans="2:15" ht="13.5" customHeight="1" x14ac:dyDescent="0.25">
      <c r="B85" s="259" t="s">
        <v>8</v>
      </c>
      <c r="C85" s="51" t="s">
        <v>471</v>
      </c>
      <c r="D85" s="51" t="s">
        <v>523</v>
      </c>
      <c r="E85" s="142"/>
      <c r="F85" s="142"/>
      <c r="G85" s="142"/>
      <c r="H85" s="142"/>
      <c r="I85" s="142"/>
      <c r="J85" s="142"/>
      <c r="K85" s="142"/>
      <c r="L85" s="142"/>
      <c r="O85" s="214"/>
    </row>
    <row r="86" spans="2:15" ht="13.5" customHeight="1" x14ac:dyDescent="0.25">
      <c r="B86" s="259"/>
      <c r="C86" s="51" t="s">
        <v>472</v>
      </c>
      <c r="D86" s="76" t="s">
        <v>523</v>
      </c>
      <c r="E86" s="181"/>
      <c r="F86" s="179"/>
      <c r="G86" s="142"/>
      <c r="H86" s="142"/>
      <c r="I86" s="142"/>
      <c r="J86" s="142"/>
      <c r="K86" s="142"/>
      <c r="L86" s="142"/>
      <c r="O86" s="214"/>
    </row>
    <row r="87" spans="2:15" ht="13.5" customHeight="1" x14ac:dyDescent="0.25">
      <c r="B87" s="259"/>
      <c r="C87" s="51" t="s">
        <v>521</v>
      </c>
      <c r="D87" s="76" t="s">
        <v>486</v>
      </c>
      <c r="E87" s="181"/>
      <c r="F87" s="179"/>
      <c r="G87" s="142"/>
      <c r="H87" s="142"/>
      <c r="I87" s="142"/>
      <c r="J87" s="142"/>
      <c r="K87" s="142"/>
      <c r="L87" s="142"/>
      <c r="O87" s="214"/>
    </row>
    <row r="88" spans="2:15" ht="13.5" customHeight="1" x14ac:dyDescent="0.25">
      <c r="B88" s="259"/>
      <c r="C88" s="51" t="s">
        <v>521</v>
      </c>
      <c r="D88" s="76" t="s">
        <v>522</v>
      </c>
      <c r="E88" s="181"/>
      <c r="F88" s="179"/>
      <c r="G88" s="142"/>
      <c r="H88" s="142"/>
      <c r="I88" s="142"/>
      <c r="J88" s="142"/>
      <c r="K88" s="142"/>
      <c r="L88" s="142"/>
      <c r="O88" s="214"/>
    </row>
    <row r="89" spans="2:15" ht="13.5" customHeight="1" x14ac:dyDescent="0.25">
      <c r="B89" s="259"/>
      <c r="C89" s="51" t="s">
        <v>3</v>
      </c>
      <c r="D89" s="76" t="s">
        <v>529</v>
      </c>
      <c r="E89" s="181"/>
      <c r="F89" s="179"/>
      <c r="G89" s="142"/>
      <c r="H89" s="142"/>
      <c r="I89" s="142"/>
      <c r="J89" s="142"/>
      <c r="K89" s="142"/>
      <c r="L89" s="142"/>
      <c r="O89" s="214"/>
    </row>
    <row r="90" spans="2:15" ht="13.5" customHeight="1" x14ac:dyDescent="0.25">
      <c r="B90" s="259"/>
      <c r="C90" s="51" t="s">
        <v>3</v>
      </c>
      <c r="D90" s="76" t="s">
        <v>530</v>
      </c>
      <c r="E90" s="181"/>
      <c r="F90" s="179"/>
      <c r="G90" s="142"/>
      <c r="H90" s="142"/>
      <c r="I90" s="142"/>
      <c r="J90" s="142"/>
      <c r="K90" s="142"/>
      <c r="L90" s="142"/>
      <c r="O90" s="214"/>
    </row>
    <row r="91" spans="2:15" ht="13.5" customHeight="1" x14ac:dyDescent="0.25">
      <c r="B91" s="259"/>
      <c r="C91" s="51" t="s">
        <v>4</v>
      </c>
      <c r="D91" s="76" t="s">
        <v>21</v>
      </c>
      <c r="E91" s="181"/>
      <c r="F91" s="179"/>
      <c r="G91" s="142"/>
      <c r="H91" s="142"/>
      <c r="I91" s="142"/>
      <c r="J91" s="142"/>
      <c r="K91" s="142"/>
      <c r="L91" s="142"/>
      <c r="O91" s="214"/>
    </row>
    <row r="92" spans="2:15" ht="4.5" customHeight="1" x14ac:dyDescent="0.25">
      <c r="E92" s="181"/>
      <c r="F92" s="9"/>
      <c r="G92" s="9"/>
      <c r="H92" s="9"/>
      <c r="I92" s="9"/>
      <c r="J92" s="9"/>
      <c r="K92" s="9"/>
      <c r="L92" s="9"/>
      <c r="O92" s="214"/>
    </row>
    <row r="93" spans="2:15" ht="13.5" customHeight="1" x14ac:dyDescent="0.25">
      <c r="B93" s="259" t="s">
        <v>5</v>
      </c>
      <c r="C93" s="51" t="s">
        <v>471</v>
      </c>
      <c r="D93" s="76" t="s">
        <v>523</v>
      </c>
      <c r="E93" s="181"/>
      <c r="F93" s="179"/>
      <c r="G93" s="142"/>
      <c r="H93" s="142"/>
      <c r="I93" s="142"/>
      <c r="J93" s="142"/>
      <c r="K93" s="142"/>
      <c r="L93" s="142"/>
      <c r="O93" s="214"/>
    </row>
    <row r="94" spans="2:15" ht="13.5" customHeight="1" x14ac:dyDescent="0.25">
      <c r="B94" s="259"/>
      <c r="C94" s="51" t="s">
        <v>472</v>
      </c>
      <c r="D94" s="76" t="s">
        <v>523</v>
      </c>
      <c r="E94" s="181"/>
      <c r="F94" s="179"/>
      <c r="G94" s="142"/>
      <c r="H94" s="142"/>
      <c r="I94" s="142"/>
      <c r="J94" s="142"/>
      <c r="K94" s="142"/>
      <c r="L94" s="142"/>
      <c r="O94" s="214"/>
    </row>
    <row r="95" spans="2:15" ht="13.5" customHeight="1" x14ac:dyDescent="0.25">
      <c r="B95" s="259"/>
      <c r="C95" s="51" t="str">
        <f t="shared" ref="C95:D99" si="10">+C87</f>
        <v>Offerta annua (al netto delle percorrenze tecniche)</v>
      </c>
      <c r="D95" s="76" t="str">
        <f t="shared" si="10"/>
        <v>Veicoli*km/anno</v>
      </c>
      <c r="E95" s="181"/>
      <c r="F95" s="179"/>
      <c r="G95" s="142"/>
      <c r="H95" s="142"/>
      <c r="I95" s="142"/>
      <c r="J95" s="142"/>
      <c r="K95" s="142"/>
      <c r="L95" s="142"/>
      <c r="O95" s="214"/>
    </row>
    <row r="96" spans="2:15" ht="13.5" customHeight="1" x14ac:dyDescent="0.25">
      <c r="B96" s="259"/>
      <c r="C96" s="51" t="str">
        <f t="shared" si="10"/>
        <v>Offerta annua (al netto delle percorrenze tecniche)</v>
      </c>
      <c r="D96" s="76" t="str">
        <f t="shared" si="10"/>
        <v>Posti*km/anno</v>
      </c>
      <c r="E96" s="181"/>
      <c r="F96" s="179"/>
      <c r="G96" s="142"/>
      <c r="H96" s="142"/>
      <c r="I96" s="142"/>
      <c r="J96" s="142"/>
      <c r="K96" s="142"/>
      <c r="L96" s="142"/>
      <c r="O96" s="214"/>
    </row>
    <row r="97" spans="2:15" ht="13.5" customHeight="1" x14ac:dyDescent="0.25">
      <c r="B97" s="259"/>
      <c r="C97" s="51" t="str">
        <f t="shared" si="10"/>
        <v>Domanda annua</v>
      </c>
      <c r="D97" s="76" t="str">
        <f t="shared" si="10"/>
        <v>Pass/anno</v>
      </c>
      <c r="E97" s="181"/>
      <c r="F97" s="179"/>
      <c r="G97" s="142"/>
      <c r="H97" s="142"/>
      <c r="I97" s="142"/>
      <c r="J97" s="142"/>
      <c r="K97" s="142"/>
      <c r="L97" s="142"/>
      <c r="O97" s="214"/>
    </row>
    <row r="98" spans="2:15" ht="13.5" customHeight="1" x14ac:dyDescent="0.25">
      <c r="B98" s="259"/>
      <c r="C98" s="51" t="str">
        <f t="shared" si="10"/>
        <v>Domanda annua</v>
      </c>
      <c r="D98" s="76" t="str">
        <f t="shared" si="10"/>
        <v>Pass*km/anno</v>
      </c>
      <c r="E98" s="181"/>
      <c r="F98" s="179"/>
      <c r="G98" s="142"/>
      <c r="H98" s="142"/>
      <c r="I98" s="142"/>
      <c r="J98" s="142"/>
      <c r="K98" s="142"/>
      <c r="L98" s="142"/>
      <c r="O98" s="214"/>
    </row>
    <row r="99" spans="2:15" ht="13.5" customHeight="1" x14ac:dyDescent="0.25">
      <c r="B99" s="259"/>
      <c r="C99" s="51" t="str">
        <f t="shared" si="10"/>
        <v>Consistenza parco rotabile</v>
      </c>
      <c r="D99" s="76" t="str">
        <f t="shared" si="10"/>
        <v>Veicoli</v>
      </c>
      <c r="E99" s="181"/>
      <c r="F99" s="179"/>
      <c r="G99" s="142"/>
      <c r="H99" s="142"/>
      <c r="I99" s="142"/>
      <c r="J99" s="142"/>
      <c r="K99" s="142"/>
      <c r="L99" s="142"/>
      <c r="O99" s="214"/>
    </row>
    <row r="100" spans="2:15" ht="4.5" customHeight="1" x14ac:dyDescent="0.25">
      <c r="E100" s="181"/>
      <c r="F100" s="9"/>
      <c r="G100" s="9"/>
      <c r="H100" s="9"/>
      <c r="I100" s="9"/>
      <c r="J100" s="9"/>
      <c r="K100" s="9"/>
      <c r="L100" s="9"/>
      <c r="O100" s="214"/>
    </row>
    <row r="101" spans="2:15" ht="13.5" customHeight="1" x14ac:dyDescent="0.25">
      <c r="B101" s="259" t="s">
        <v>6</v>
      </c>
      <c r="C101" s="51" t="s">
        <v>471</v>
      </c>
      <c r="D101" s="76" t="s">
        <v>523</v>
      </c>
      <c r="E101" s="181"/>
      <c r="F101" s="179"/>
      <c r="G101" s="142"/>
      <c r="H101" s="142"/>
      <c r="I101" s="142"/>
      <c r="J101" s="142"/>
      <c r="K101" s="142"/>
      <c r="L101" s="142"/>
      <c r="O101" s="214"/>
    </row>
    <row r="102" spans="2:15" ht="13.5" customHeight="1" x14ac:dyDescent="0.25">
      <c r="B102" s="259"/>
      <c r="C102" s="51" t="s">
        <v>472</v>
      </c>
      <c r="D102" s="76" t="s">
        <v>523</v>
      </c>
      <c r="E102" s="181"/>
      <c r="F102" s="179"/>
      <c r="G102" s="142"/>
      <c r="H102" s="142"/>
      <c r="I102" s="142"/>
      <c r="J102" s="142"/>
      <c r="K102" s="142"/>
      <c r="L102" s="142"/>
      <c r="O102" s="214"/>
    </row>
    <row r="103" spans="2:15" ht="13.5" customHeight="1" x14ac:dyDescent="0.25">
      <c r="B103" s="259"/>
      <c r="C103" s="51" t="str">
        <f t="shared" ref="C103:D107" si="11">+C95</f>
        <v>Offerta annua (al netto delle percorrenze tecniche)</v>
      </c>
      <c r="D103" s="76" t="str">
        <f t="shared" si="11"/>
        <v>Veicoli*km/anno</v>
      </c>
      <c r="E103" s="181"/>
      <c r="F103" s="179"/>
      <c r="G103" s="142"/>
      <c r="H103" s="142"/>
      <c r="I103" s="142"/>
      <c r="J103" s="142"/>
      <c r="K103" s="142"/>
      <c r="L103" s="142"/>
      <c r="O103" s="214"/>
    </row>
    <row r="104" spans="2:15" ht="13.5" customHeight="1" x14ac:dyDescent="0.25">
      <c r="B104" s="259"/>
      <c r="C104" s="51" t="str">
        <f t="shared" si="11"/>
        <v>Offerta annua (al netto delle percorrenze tecniche)</v>
      </c>
      <c r="D104" s="76" t="str">
        <f t="shared" si="11"/>
        <v>Posti*km/anno</v>
      </c>
      <c r="E104" s="181"/>
      <c r="F104" s="179"/>
      <c r="G104" s="142"/>
      <c r="H104" s="142"/>
      <c r="I104" s="142"/>
      <c r="J104" s="142"/>
      <c r="K104" s="142"/>
      <c r="L104" s="142"/>
      <c r="O104" s="214"/>
    </row>
    <row r="105" spans="2:15" ht="13.5" customHeight="1" x14ac:dyDescent="0.25">
      <c r="B105" s="259"/>
      <c r="C105" s="51" t="str">
        <f t="shared" si="11"/>
        <v>Domanda annua</v>
      </c>
      <c r="D105" s="76" t="str">
        <f t="shared" si="11"/>
        <v>Pass/anno</v>
      </c>
      <c r="E105" s="181"/>
      <c r="F105" s="179"/>
      <c r="G105" s="142"/>
      <c r="H105" s="142"/>
      <c r="I105" s="142"/>
      <c r="J105" s="142"/>
      <c r="K105" s="142"/>
      <c r="L105" s="142"/>
      <c r="O105" s="214"/>
    </row>
    <row r="106" spans="2:15" ht="13.5" customHeight="1" x14ac:dyDescent="0.25">
      <c r="B106" s="259"/>
      <c r="C106" s="51" t="str">
        <f t="shared" si="11"/>
        <v>Domanda annua</v>
      </c>
      <c r="D106" s="76" t="str">
        <f t="shared" si="11"/>
        <v>Pass*km/anno</v>
      </c>
      <c r="E106" s="181"/>
      <c r="F106" s="179"/>
      <c r="G106" s="142"/>
      <c r="H106" s="142"/>
      <c r="I106" s="142"/>
      <c r="J106" s="142"/>
      <c r="K106" s="142"/>
      <c r="L106" s="142"/>
      <c r="O106" s="214"/>
    </row>
    <row r="107" spans="2:15" ht="13.5" customHeight="1" x14ac:dyDescent="0.25">
      <c r="B107" s="259"/>
      <c r="C107" s="51" t="str">
        <f t="shared" si="11"/>
        <v>Consistenza parco rotabile</v>
      </c>
      <c r="D107" s="76" t="str">
        <f t="shared" si="11"/>
        <v>Veicoli</v>
      </c>
      <c r="E107" s="181"/>
      <c r="F107" s="179"/>
      <c r="G107" s="142"/>
      <c r="H107" s="142"/>
      <c r="I107" s="142"/>
      <c r="J107" s="142"/>
      <c r="K107" s="142"/>
      <c r="L107" s="142"/>
      <c r="O107" s="214"/>
    </row>
    <row r="108" spans="2:15" ht="4.5" customHeight="1" x14ac:dyDescent="0.25">
      <c r="E108" s="181"/>
      <c r="F108" s="9"/>
      <c r="G108" s="9"/>
      <c r="H108" s="9"/>
      <c r="I108" s="9"/>
      <c r="J108" s="9"/>
      <c r="K108" s="9"/>
      <c r="L108" s="9"/>
      <c r="O108" s="214"/>
    </row>
    <row r="109" spans="2:15" ht="13.5" customHeight="1" x14ac:dyDescent="0.25">
      <c r="B109" s="259" t="s">
        <v>573</v>
      </c>
      <c r="C109" s="51" t="s">
        <v>471</v>
      </c>
      <c r="D109" s="76" t="s">
        <v>523</v>
      </c>
      <c r="E109" s="181"/>
      <c r="F109" s="179"/>
      <c r="G109" s="142"/>
      <c r="H109" s="142"/>
      <c r="I109" s="142"/>
      <c r="J109" s="142"/>
      <c r="K109" s="142"/>
      <c r="L109" s="142"/>
      <c r="O109" s="214"/>
    </row>
    <row r="110" spans="2:15" ht="13.5" customHeight="1" x14ac:dyDescent="0.25">
      <c r="B110" s="259"/>
      <c r="C110" s="51" t="s">
        <v>472</v>
      </c>
      <c r="D110" s="76" t="s">
        <v>523</v>
      </c>
      <c r="E110" s="181"/>
      <c r="F110" s="179"/>
      <c r="G110" s="142"/>
      <c r="H110" s="142"/>
      <c r="I110" s="142"/>
      <c r="J110" s="142"/>
      <c r="K110" s="142"/>
      <c r="L110" s="142"/>
      <c r="O110" s="214"/>
    </row>
    <row r="111" spans="2:15" ht="13.5" customHeight="1" x14ac:dyDescent="0.25">
      <c r="B111" s="259"/>
      <c r="C111" s="51" t="str">
        <f t="shared" ref="C111:D115" si="12">+C103</f>
        <v>Offerta annua (al netto delle percorrenze tecniche)</v>
      </c>
      <c r="D111" s="76" t="str">
        <f t="shared" si="12"/>
        <v>Veicoli*km/anno</v>
      </c>
      <c r="E111" s="181"/>
      <c r="F111" s="179"/>
      <c r="G111" s="142"/>
      <c r="H111" s="142"/>
      <c r="I111" s="142"/>
      <c r="J111" s="142"/>
      <c r="K111" s="142"/>
      <c r="L111" s="142"/>
      <c r="O111" s="214"/>
    </row>
    <row r="112" spans="2:15" ht="13.5" customHeight="1" x14ac:dyDescent="0.25">
      <c r="B112" s="259"/>
      <c r="C112" s="51" t="str">
        <f t="shared" si="12"/>
        <v>Offerta annua (al netto delle percorrenze tecniche)</v>
      </c>
      <c r="D112" s="76" t="str">
        <f t="shared" si="12"/>
        <v>Posti*km/anno</v>
      </c>
      <c r="E112" s="181"/>
      <c r="F112" s="179"/>
      <c r="G112" s="142"/>
      <c r="H112" s="142"/>
      <c r="I112" s="142"/>
      <c r="J112" s="142"/>
      <c r="K112" s="142"/>
      <c r="L112" s="142"/>
      <c r="O112" s="214"/>
    </row>
    <row r="113" spans="2:15" ht="13.5" customHeight="1" x14ac:dyDescent="0.25">
      <c r="B113" s="259"/>
      <c r="C113" s="51" t="str">
        <f t="shared" si="12"/>
        <v>Domanda annua</v>
      </c>
      <c r="D113" s="76" t="str">
        <f t="shared" si="12"/>
        <v>Pass/anno</v>
      </c>
      <c r="E113" s="181"/>
      <c r="F113" s="179"/>
      <c r="G113" s="142"/>
      <c r="H113" s="142"/>
      <c r="I113" s="142"/>
      <c r="J113" s="142"/>
      <c r="K113" s="142"/>
      <c r="L113" s="142"/>
      <c r="O113" s="214"/>
    </row>
    <row r="114" spans="2:15" ht="13.5" customHeight="1" x14ac:dyDescent="0.25">
      <c r="B114" s="259"/>
      <c r="C114" s="51" t="str">
        <f t="shared" si="12"/>
        <v>Domanda annua</v>
      </c>
      <c r="D114" s="76" t="str">
        <f t="shared" si="12"/>
        <v>Pass*km/anno</v>
      </c>
      <c r="E114" s="181"/>
      <c r="F114" s="179"/>
      <c r="G114" s="142"/>
      <c r="H114" s="142"/>
      <c r="I114" s="142"/>
      <c r="J114" s="142"/>
      <c r="K114" s="142"/>
      <c r="L114" s="142"/>
      <c r="O114" s="214"/>
    </row>
    <row r="115" spans="2:15" ht="13.5" customHeight="1" x14ac:dyDescent="0.25">
      <c r="B115" s="259"/>
      <c r="C115" s="51" t="str">
        <f t="shared" si="12"/>
        <v>Consistenza parco rotabile</v>
      </c>
      <c r="D115" s="76" t="str">
        <f t="shared" si="12"/>
        <v>Veicoli</v>
      </c>
      <c r="E115" s="181"/>
      <c r="F115" s="179"/>
      <c r="G115" s="142"/>
      <c r="H115" s="142"/>
      <c r="I115" s="142"/>
      <c r="J115" s="142"/>
      <c r="K115" s="142"/>
      <c r="L115" s="142"/>
      <c r="O115" s="214"/>
    </row>
    <row r="116" spans="2:15" ht="4.5" customHeight="1" x14ac:dyDescent="0.25">
      <c r="E116" s="181"/>
      <c r="F116" s="9"/>
      <c r="G116" s="9"/>
      <c r="H116" s="9"/>
      <c r="I116" s="9"/>
      <c r="J116" s="9"/>
      <c r="K116" s="9"/>
      <c r="L116" s="9"/>
      <c r="O116" s="214"/>
    </row>
    <row r="117" spans="2:15" s="10" customFormat="1" ht="13.5" customHeight="1" x14ac:dyDescent="0.25">
      <c r="B117" s="258" t="s">
        <v>473</v>
      </c>
      <c r="C117" s="51" t="s">
        <v>471</v>
      </c>
      <c r="D117" s="76" t="s">
        <v>523</v>
      </c>
      <c r="E117" s="181"/>
      <c r="F117" s="180"/>
      <c r="G117" s="178"/>
      <c r="H117" s="178"/>
      <c r="I117" s="178"/>
      <c r="J117" s="178"/>
      <c r="K117" s="178"/>
      <c r="L117" s="178"/>
      <c r="O117" s="220"/>
    </row>
    <row r="118" spans="2:15" s="10" customFormat="1" ht="13.5" customHeight="1" x14ac:dyDescent="0.25">
      <c r="B118" s="258"/>
      <c r="C118" s="51" t="s">
        <v>472</v>
      </c>
      <c r="D118" s="76" t="s">
        <v>523</v>
      </c>
      <c r="E118" s="181"/>
      <c r="F118" s="180"/>
      <c r="G118" s="178"/>
      <c r="H118" s="178"/>
      <c r="I118" s="178"/>
      <c r="J118" s="178"/>
      <c r="K118" s="178"/>
      <c r="L118" s="178"/>
      <c r="O118" s="220"/>
    </row>
    <row r="119" spans="2:15" s="10" customFormat="1" ht="13.5" customHeight="1" x14ac:dyDescent="0.25">
      <c r="B119" s="258"/>
      <c r="C119" s="51" t="str">
        <f t="shared" ref="C119:D123" si="13">+C111</f>
        <v>Offerta annua (al netto delle percorrenze tecniche)</v>
      </c>
      <c r="D119" s="76" t="str">
        <f t="shared" si="13"/>
        <v>Veicoli*km/anno</v>
      </c>
      <c r="E119" s="181"/>
      <c r="F119" s="180"/>
      <c r="G119" s="178"/>
      <c r="H119" s="178"/>
      <c r="I119" s="178"/>
      <c r="J119" s="178"/>
      <c r="K119" s="178"/>
      <c r="L119" s="178"/>
      <c r="O119" s="220"/>
    </row>
    <row r="120" spans="2:15" s="10" customFormat="1" ht="13.5" customHeight="1" x14ac:dyDescent="0.25">
      <c r="B120" s="258"/>
      <c r="C120" s="51" t="str">
        <f t="shared" si="13"/>
        <v>Offerta annua (al netto delle percorrenze tecniche)</v>
      </c>
      <c r="D120" s="76" t="str">
        <f t="shared" si="13"/>
        <v>Posti*km/anno</v>
      </c>
      <c r="E120" s="181"/>
      <c r="F120" s="180"/>
      <c r="G120" s="178"/>
      <c r="H120" s="178"/>
      <c r="I120" s="178"/>
      <c r="J120" s="178"/>
      <c r="K120" s="178"/>
      <c r="L120" s="178"/>
      <c r="O120" s="220"/>
    </row>
    <row r="121" spans="2:15" s="10" customFormat="1" ht="13.5" customHeight="1" x14ac:dyDescent="0.25">
      <c r="B121" s="258"/>
      <c r="C121" s="51" t="str">
        <f t="shared" si="13"/>
        <v>Domanda annua</v>
      </c>
      <c r="D121" s="76" t="str">
        <f t="shared" si="13"/>
        <v>Pass/anno</v>
      </c>
      <c r="E121" s="181"/>
      <c r="F121" s="180"/>
      <c r="G121" s="178"/>
      <c r="H121" s="178"/>
      <c r="I121" s="178"/>
      <c r="J121" s="178"/>
      <c r="K121" s="178"/>
      <c r="L121" s="178"/>
      <c r="O121" s="220"/>
    </row>
    <row r="122" spans="2:15" s="10" customFormat="1" ht="13.5" customHeight="1" x14ac:dyDescent="0.25">
      <c r="B122" s="258"/>
      <c r="C122" s="51" t="str">
        <f t="shared" si="13"/>
        <v>Domanda annua</v>
      </c>
      <c r="D122" s="76" t="str">
        <f t="shared" si="13"/>
        <v>Pass*km/anno</v>
      </c>
      <c r="E122" s="181"/>
      <c r="F122" s="180"/>
      <c r="G122" s="178"/>
      <c r="H122" s="178"/>
      <c r="I122" s="178"/>
      <c r="J122" s="178"/>
      <c r="K122" s="178"/>
      <c r="L122" s="178"/>
      <c r="O122" s="220"/>
    </row>
    <row r="123" spans="2:15" s="10" customFormat="1" ht="13.5" customHeight="1" x14ac:dyDescent="0.25">
      <c r="B123" s="258"/>
      <c r="C123" s="51" t="str">
        <f t="shared" si="13"/>
        <v>Consistenza parco rotabile</v>
      </c>
      <c r="D123" s="76" t="str">
        <f t="shared" si="13"/>
        <v>Veicoli</v>
      </c>
      <c r="E123" s="181"/>
      <c r="F123" s="180"/>
      <c r="G123" s="178"/>
      <c r="H123" s="178"/>
      <c r="I123" s="178"/>
      <c r="J123" s="178"/>
      <c r="K123" s="178"/>
      <c r="L123" s="178"/>
      <c r="O123" s="220"/>
    </row>
    <row r="124" spans="2:15" ht="4.5" customHeight="1" x14ac:dyDescent="0.25">
      <c r="E124" s="181"/>
      <c r="F124" s="9"/>
      <c r="G124" s="9"/>
      <c r="H124" s="9"/>
      <c r="I124" s="9"/>
      <c r="J124" s="9"/>
      <c r="K124" s="9"/>
      <c r="L124" s="9"/>
      <c r="O124" s="214"/>
    </row>
    <row r="125" spans="2:15" ht="13.5" customHeight="1" x14ac:dyDescent="0.25">
      <c r="B125" s="259" t="s">
        <v>7</v>
      </c>
      <c r="C125" s="51" t="s">
        <v>471</v>
      </c>
      <c r="D125" s="76" t="s">
        <v>523</v>
      </c>
      <c r="E125" s="181"/>
      <c r="F125" s="179"/>
      <c r="G125" s="142"/>
      <c r="H125" s="142"/>
      <c r="I125" s="142"/>
      <c r="J125" s="142"/>
      <c r="K125" s="142"/>
      <c r="L125" s="142"/>
      <c r="O125" s="214"/>
    </row>
    <row r="126" spans="2:15" ht="13.5" customHeight="1" x14ac:dyDescent="0.25">
      <c r="B126" s="259"/>
      <c r="C126" s="51" t="s">
        <v>472</v>
      </c>
      <c r="D126" s="76" t="s">
        <v>523</v>
      </c>
      <c r="E126" s="181"/>
      <c r="F126" s="183">
        <v>371.89</v>
      </c>
      <c r="G126" s="142"/>
      <c r="H126" s="142"/>
      <c r="I126" s="142"/>
      <c r="J126" s="142"/>
      <c r="K126" s="142"/>
      <c r="L126" s="142"/>
      <c r="O126" s="214"/>
    </row>
    <row r="127" spans="2:15" ht="13.5" customHeight="1" x14ac:dyDescent="0.25">
      <c r="B127" s="259"/>
      <c r="C127" s="51" t="str">
        <f t="shared" ref="C127:D131" si="14">+C111</f>
        <v>Offerta annua (al netto delle percorrenze tecniche)</v>
      </c>
      <c r="D127" s="76" t="str">
        <f t="shared" si="14"/>
        <v>Veicoli*km/anno</v>
      </c>
      <c r="E127" s="181"/>
      <c r="F127" s="183">
        <v>5706339</v>
      </c>
      <c r="G127" s="142"/>
      <c r="H127" s="142"/>
      <c r="I127" s="142"/>
      <c r="J127" s="142"/>
      <c r="K127" s="142"/>
      <c r="L127" s="142"/>
      <c r="O127" s="214"/>
    </row>
    <row r="128" spans="2:15" ht="13.5" customHeight="1" x14ac:dyDescent="0.25">
      <c r="B128" s="259"/>
      <c r="C128" s="51" t="str">
        <f t="shared" si="14"/>
        <v>Offerta annua (al netto delle percorrenze tecniche)</v>
      </c>
      <c r="D128" s="76" t="str">
        <f t="shared" si="14"/>
        <v>Posti*km/anno</v>
      </c>
      <c r="E128" s="181"/>
      <c r="F128" s="183">
        <v>483267364</v>
      </c>
      <c r="G128" s="142"/>
      <c r="H128" s="142"/>
      <c r="I128" s="142"/>
      <c r="J128" s="142"/>
      <c r="K128" s="142"/>
      <c r="L128" s="142"/>
      <c r="O128" s="214"/>
    </row>
    <row r="129" spans="2:15" ht="13.5" customHeight="1" x14ac:dyDescent="0.25">
      <c r="B129" s="259"/>
      <c r="C129" s="51" t="str">
        <f t="shared" si="14"/>
        <v>Domanda annua</v>
      </c>
      <c r="D129" s="76" t="str">
        <f t="shared" si="14"/>
        <v>Pass/anno</v>
      </c>
      <c r="E129" s="181"/>
      <c r="F129" s="183">
        <v>23168468</v>
      </c>
      <c r="G129" s="142"/>
      <c r="H129" s="142"/>
      <c r="I129" s="142"/>
      <c r="J129" s="142"/>
      <c r="K129" s="142"/>
      <c r="L129" s="142"/>
      <c r="O129" s="214"/>
    </row>
    <row r="130" spans="2:15" ht="13.5" customHeight="1" x14ac:dyDescent="0.25">
      <c r="B130" s="259"/>
      <c r="C130" s="51" t="str">
        <f t="shared" si="14"/>
        <v>Domanda annua</v>
      </c>
      <c r="D130" s="76" t="str">
        <f t="shared" si="14"/>
        <v>Pass*km/anno</v>
      </c>
      <c r="E130" s="181"/>
      <c r="F130" s="183">
        <v>92673872</v>
      </c>
      <c r="G130" s="142"/>
      <c r="H130" s="142"/>
      <c r="I130" s="142"/>
      <c r="J130" s="142"/>
      <c r="K130" s="142"/>
      <c r="L130" s="142"/>
      <c r="O130" s="214"/>
    </row>
    <row r="131" spans="2:15" ht="13.5" customHeight="1" x14ac:dyDescent="0.25">
      <c r="B131" s="259"/>
      <c r="C131" s="51" t="str">
        <f t="shared" si="14"/>
        <v>Consistenza parco rotabile</v>
      </c>
      <c r="D131" s="76" t="str">
        <f t="shared" si="14"/>
        <v>Veicoli</v>
      </c>
      <c r="E131" s="181"/>
      <c r="F131" s="183">
        <v>136</v>
      </c>
      <c r="G131" s="142"/>
      <c r="H131" s="142"/>
      <c r="I131" s="142"/>
      <c r="J131" s="142"/>
      <c r="K131" s="142"/>
      <c r="L131" s="142"/>
      <c r="O131" s="214"/>
    </row>
    <row r="132" spans="2:15" ht="4.5" customHeight="1" x14ac:dyDescent="0.25">
      <c r="O132" s="214"/>
    </row>
    <row r="133" spans="2:15" ht="13.5" customHeight="1" x14ac:dyDescent="0.25">
      <c r="B133" s="254" t="s">
        <v>482</v>
      </c>
      <c r="C133" s="254"/>
      <c r="D133" s="254"/>
      <c r="E133" s="254"/>
      <c r="F133" s="254"/>
      <c r="G133" s="254"/>
      <c r="H133" s="254"/>
      <c r="I133" s="254"/>
      <c r="J133" s="254"/>
      <c r="K133" s="254"/>
      <c r="L133" s="254"/>
      <c r="O133" s="214"/>
    </row>
    <row r="134" spans="2:15" ht="4.5" customHeight="1" x14ac:dyDescent="0.25">
      <c r="B134" s="127"/>
      <c r="C134" s="10"/>
      <c r="D134" s="10"/>
      <c r="E134" s="10"/>
      <c r="F134" s="10"/>
      <c r="G134" s="10"/>
      <c r="H134" s="10"/>
      <c r="I134" s="10"/>
      <c r="J134" s="10"/>
      <c r="K134" s="10"/>
      <c r="L134" s="10"/>
      <c r="O134" s="214"/>
    </row>
    <row r="135" spans="2:15" ht="13.5" customHeight="1" x14ac:dyDescent="0.25">
      <c r="B135" s="258" t="s">
        <v>298</v>
      </c>
      <c r="C135" s="51" t="s">
        <v>3</v>
      </c>
      <c r="D135" s="51" t="s">
        <v>486</v>
      </c>
      <c r="E135" s="182"/>
      <c r="F135" s="195">
        <v>2261485541.8447685</v>
      </c>
      <c r="G135" s="195"/>
      <c r="H135" s="195"/>
      <c r="I135" s="195"/>
      <c r="J135" s="195">
        <f>F135+O135</f>
        <v>2258054899.0507131</v>
      </c>
      <c r="K135" s="178"/>
      <c r="L135" s="178"/>
      <c r="O135" s="214">
        <v>-3430642.7940554619</v>
      </c>
    </row>
    <row r="136" spans="2:15" ht="13.5" customHeight="1" x14ac:dyDescent="0.25">
      <c r="B136" s="258"/>
      <c r="C136" s="51" t="s">
        <v>3</v>
      </c>
      <c r="D136" s="51" t="s">
        <v>529</v>
      </c>
      <c r="E136" s="182"/>
      <c r="F136" s="195">
        <v>586794351</v>
      </c>
      <c r="G136" s="195"/>
      <c r="H136" s="195"/>
      <c r="I136" s="195"/>
      <c r="J136" s="195">
        <f t="shared" ref="J136:J137" si="15">F136+O136</f>
        <v>585898851</v>
      </c>
      <c r="K136" s="178"/>
      <c r="L136" s="178"/>
      <c r="O136" s="214">
        <v>-895500</v>
      </c>
    </row>
    <row r="137" spans="2:15" ht="13.5" customHeight="1" x14ac:dyDescent="0.25">
      <c r="B137" s="258"/>
      <c r="C137" s="51" t="s">
        <v>3</v>
      </c>
      <c r="D137" s="51" t="s">
        <v>530</v>
      </c>
      <c r="E137" s="182"/>
      <c r="F137" s="195">
        <v>2922396823.4574547</v>
      </c>
      <c r="G137" s="195"/>
      <c r="H137" s="195"/>
      <c r="I137" s="195"/>
      <c r="J137" s="195">
        <f t="shared" si="15"/>
        <v>2917936987.825182</v>
      </c>
      <c r="K137" s="178"/>
      <c r="L137" s="178"/>
      <c r="O137" s="214">
        <v>-4459835.6322727203</v>
      </c>
    </row>
    <row r="138" spans="2:15" ht="13.5" customHeight="1" x14ac:dyDescent="0.25">
      <c r="B138" s="258"/>
      <c r="C138" s="51" t="s">
        <v>532</v>
      </c>
      <c r="D138" s="51" t="s">
        <v>23</v>
      </c>
      <c r="E138" s="182"/>
      <c r="F138" s="194">
        <v>2.4039654199231302E-2</v>
      </c>
      <c r="G138" s="194"/>
      <c r="H138" s="194"/>
      <c r="I138" s="194"/>
      <c r="J138" s="194">
        <f>F138+F138*O138</f>
        <v>2.4039654199231302E-2</v>
      </c>
      <c r="K138" s="178"/>
      <c r="L138" s="178"/>
      <c r="O138" s="214">
        <v>0</v>
      </c>
    </row>
    <row r="139" spans="2:15" ht="4.5" customHeight="1" x14ac:dyDescent="0.25"/>
    <row r="140" spans="2:15" ht="13.5" customHeight="1" x14ac:dyDescent="0.25">
      <c r="B140" s="128" t="s">
        <v>587</v>
      </c>
      <c r="C140" s="257" t="s">
        <v>604</v>
      </c>
      <c r="D140" s="257"/>
    </row>
  </sheetData>
  <mergeCells count="21">
    <mergeCell ref="C140:D140"/>
    <mergeCell ref="D6:D7"/>
    <mergeCell ref="E6:F6"/>
    <mergeCell ref="B133:L133"/>
    <mergeCell ref="B83:L83"/>
    <mergeCell ref="B135:B138"/>
    <mergeCell ref="B11:B45"/>
    <mergeCell ref="B117:B123"/>
    <mergeCell ref="B47:B81"/>
    <mergeCell ref="B125:B131"/>
    <mergeCell ref="B85:B91"/>
    <mergeCell ref="B93:B99"/>
    <mergeCell ref="B101:B107"/>
    <mergeCell ref="B109:B115"/>
    <mergeCell ref="B4:L4"/>
    <mergeCell ref="I6:J6"/>
    <mergeCell ref="B6:B7"/>
    <mergeCell ref="C6:C7"/>
    <mergeCell ref="B9:L9"/>
    <mergeCell ref="G6:H6"/>
    <mergeCell ref="K6:L6"/>
  </mergeCells>
  <phoneticPr fontId="0" type="noConversion"/>
  <pageMargins left="0.7" right="0.7" top="0.75" bottom="0.75" header="0.3" footer="0.3"/>
  <pageSetup paperSize="8" scale="6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R86"/>
  <sheetViews>
    <sheetView tabSelected="1" topLeftCell="B10" zoomScaleNormal="100" workbookViewId="0">
      <selection activeCell="E29" sqref="E29"/>
    </sheetView>
  </sheetViews>
  <sheetFormatPr defaultColWidth="9.140625" defaultRowHeight="13.5" customHeight="1" x14ac:dyDescent="0.25"/>
  <cols>
    <col min="1" max="1" width="0.85546875" style="5" customWidth="1"/>
    <col min="2" max="2" width="8.5703125" style="4" customWidth="1"/>
    <col min="3" max="3" width="51.42578125" style="5" customWidth="1"/>
    <col min="4" max="4" width="23" style="5" bestFit="1" customWidth="1"/>
    <col min="5" max="5" width="30.5703125" style="5" bestFit="1" customWidth="1"/>
    <col min="6" max="9" width="31.7109375" style="5" bestFit="1" customWidth="1"/>
    <col min="10" max="11" width="12.85546875" style="5" customWidth="1"/>
    <col min="12" max="12" width="13.140625" style="5" customWidth="1"/>
    <col min="13" max="13" width="12.85546875" style="5" customWidth="1"/>
    <col min="14" max="14" width="34" style="5" customWidth="1"/>
    <col min="15" max="15" width="0.85546875" style="5" customWidth="1"/>
    <col min="16" max="17" width="9.140625" style="5"/>
    <col min="18" max="18" width="99.85546875" style="5" customWidth="1"/>
    <col min="19" max="16384" width="9.140625" style="5"/>
  </cols>
  <sheetData>
    <row r="1" spans="2:18" ht="4.5" customHeight="1" x14ac:dyDescent="0.25"/>
    <row r="2" spans="2:18" s="123" customFormat="1" ht="23.25" customHeight="1" x14ac:dyDescent="0.25">
      <c r="B2" s="123" t="str">
        <f>+'3.1 Mobilità e Rete TPL'!B2</f>
        <v>IMPIANTO DI TRASPORTO COLLETTIVO TRA LA CITTA' DI TRENTO ED IL MONTE BONDONE</v>
      </c>
      <c r="C2" s="126"/>
      <c r="D2" s="126"/>
      <c r="E2" s="126"/>
      <c r="F2" s="126"/>
      <c r="G2" s="126"/>
      <c r="H2" s="126"/>
      <c r="I2" s="126"/>
      <c r="J2" s="126"/>
      <c r="N2" s="125">
        <v>3</v>
      </c>
    </row>
    <row r="3" spans="2:18" ht="4.5" customHeight="1" x14ac:dyDescent="0.25"/>
    <row r="4" spans="2:18" ht="13.5" customHeight="1" x14ac:dyDescent="0.25">
      <c r="B4" s="251" t="s">
        <v>510</v>
      </c>
      <c r="C4" s="251"/>
      <c r="D4" s="251"/>
      <c r="E4" s="251"/>
      <c r="F4" s="251"/>
      <c r="G4" s="251"/>
      <c r="H4" s="251"/>
      <c r="I4" s="251"/>
      <c r="J4" s="251"/>
      <c r="K4" s="251"/>
      <c r="L4" s="251"/>
      <c r="M4" s="251"/>
      <c r="N4" s="251"/>
    </row>
    <row r="5" spans="2:18" ht="4.5" customHeight="1" x14ac:dyDescent="0.25"/>
    <row r="6" spans="2:18" ht="33" x14ac:dyDescent="0.25">
      <c r="B6" s="253" t="s">
        <v>15</v>
      </c>
      <c r="C6" s="252" t="s">
        <v>16</v>
      </c>
      <c r="D6" s="252" t="s">
        <v>2</v>
      </c>
      <c r="E6" s="252" t="s">
        <v>0</v>
      </c>
      <c r="F6" s="252"/>
      <c r="G6" s="252"/>
      <c r="H6" s="252"/>
      <c r="I6" s="252"/>
      <c r="J6" s="252" t="s">
        <v>1</v>
      </c>
      <c r="K6" s="252"/>
      <c r="L6" s="252" t="s">
        <v>26</v>
      </c>
      <c r="M6" s="252"/>
      <c r="N6" s="53" t="s">
        <v>583</v>
      </c>
      <c r="R6" s="265" t="s">
        <v>626</v>
      </c>
    </row>
    <row r="7" spans="2:18" s="6" customFormat="1" ht="13.5" customHeight="1" x14ac:dyDescent="0.25">
      <c r="B7" s="253"/>
      <c r="C7" s="252"/>
      <c r="D7" s="252"/>
      <c r="E7" s="54">
        <v>2015</v>
      </c>
      <c r="F7" s="54">
        <v>2016</v>
      </c>
      <c r="G7" s="54">
        <v>2017</v>
      </c>
      <c r="H7" s="54">
        <v>2018</v>
      </c>
      <c r="I7" s="54">
        <v>2019</v>
      </c>
      <c r="J7" s="54" t="s">
        <v>287</v>
      </c>
      <c r="K7" s="54" t="s">
        <v>288</v>
      </c>
      <c r="L7" s="54" t="s">
        <v>287</v>
      </c>
      <c r="M7" s="54" t="s">
        <v>288</v>
      </c>
      <c r="N7" s="54" t="s">
        <v>582</v>
      </c>
      <c r="R7" s="265"/>
    </row>
    <row r="8" spans="2:18" ht="4.5" customHeight="1" x14ac:dyDescent="0.25">
      <c r="R8" s="265"/>
    </row>
    <row r="9" spans="2:18" ht="13.5" customHeight="1" x14ac:dyDescent="0.25">
      <c r="B9" s="260" t="s">
        <v>627</v>
      </c>
      <c r="C9" s="261"/>
      <c r="D9" s="261"/>
      <c r="E9" s="261"/>
      <c r="F9" s="261"/>
      <c r="G9" s="261"/>
      <c r="H9" s="261"/>
      <c r="I9" s="261"/>
      <c r="J9" s="261"/>
      <c r="K9" s="261"/>
      <c r="L9" s="261"/>
      <c r="M9" s="261"/>
      <c r="N9" s="261"/>
      <c r="R9" s="265"/>
    </row>
    <row r="10" spans="2:18" ht="4.5" customHeight="1" x14ac:dyDescent="0.25">
      <c r="R10" s="222"/>
    </row>
    <row r="11" spans="2:18" ht="13.5" customHeight="1" x14ac:dyDescent="0.25">
      <c r="B11" s="262" t="s">
        <v>461</v>
      </c>
      <c r="C11" s="51" t="s">
        <v>17</v>
      </c>
      <c r="D11" s="51" t="s">
        <v>523</v>
      </c>
      <c r="E11" s="37"/>
      <c r="F11" s="33"/>
      <c r="G11" s="33"/>
      <c r="H11" s="33"/>
      <c r="I11" s="33"/>
      <c r="J11" s="33"/>
      <c r="K11" s="33"/>
      <c r="L11" s="209">
        <v>5.8501999999999992</v>
      </c>
      <c r="M11" s="33"/>
      <c r="N11" s="7"/>
      <c r="R11" s="223" t="s">
        <v>629</v>
      </c>
    </row>
    <row r="12" spans="2:18" ht="13.5" customHeight="1" x14ac:dyDescent="0.25">
      <c r="B12" s="263"/>
      <c r="C12" s="51" t="s">
        <v>36</v>
      </c>
      <c r="D12" s="51" t="s">
        <v>37</v>
      </c>
      <c r="E12" s="37"/>
      <c r="F12" s="33"/>
      <c r="G12" s="33"/>
      <c r="H12" s="33"/>
      <c r="I12" s="33"/>
      <c r="J12" s="33"/>
      <c r="K12" s="33"/>
      <c r="L12" s="209">
        <v>5</v>
      </c>
      <c r="M12" s="33"/>
      <c r="N12" s="7"/>
      <c r="R12" s="223"/>
    </row>
    <row r="13" spans="2:18" ht="13.5" customHeight="1" x14ac:dyDescent="0.25">
      <c r="B13" s="263"/>
      <c r="C13" s="51" t="s">
        <v>439</v>
      </c>
      <c r="D13" s="51" t="s">
        <v>533</v>
      </c>
      <c r="E13" s="37"/>
      <c r="F13" s="33"/>
      <c r="G13" s="33"/>
      <c r="H13" s="33"/>
      <c r="I13" s="33"/>
      <c r="J13" s="33"/>
      <c r="K13" s="33"/>
      <c r="L13" s="209">
        <v>21.6</v>
      </c>
      <c r="M13" s="33"/>
      <c r="N13" s="7"/>
      <c r="R13" s="223"/>
    </row>
    <row r="14" spans="2:18" ht="13.5" customHeight="1" x14ac:dyDescent="0.25">
      <c r="B14" s="263"/>
      <c r="C14" s="51" t="s">
        <v>547</v>
      </c>
      <c r="D14" s="51" t="s">
        <v>18</v>
      </c>
      <c r="E14" s="37"/>
      <c r="F14" s="33"/>
      <c r="G14" s="33"/>
      <c r="H14" s="33"/>
      <c r="I14" s="33"/>
      <c r="J14" s="33"/>
      <c r="K14" s="33"/>
      <c r="L14" s="209" t="s">
        <v>745</v>
      </c>
      <c r="M14" s="33"/>
      <c r="N14" s="7"/>
      <c r="R14" s="223" t="s">
        <v>623</v>
      </c>
    </row>
    <row r="15" spans="2:18" ht="13.5" customHeight="1" x14ac:dyDescent="0.25">
      <c r="B15" s="263"/>
      <c r="C15" s="51" t="s">
        <v>534</v>
      </c>
      <c r="D15" s="51" t="s">
        <v>18</v>
      </c>
      <c r="E15" s="37"/>
      <c r="F15" s="33"/>
      <c r="G15" s="33"/>
      <c r="H15" s="33"/>
      <c r="I15" s="33"/>
      <c r="J15" s="33"/>
      <c r="K15" s="33"/>
      <c r="L15" s="209" t="s">
        <v>746</v>
      </c>
      <c r="M15" s="33"/>
      <c r="N15" s="7"/>
      <c r="R15" s="223"/>
    </row>
    <row r="16" spans="2:18" ht="13.5" customHeight="1" x14ac:dyDescent="0.25">
      <c r="B16" s="263"/>
      <c r="C16" s="51" t="s">
        <v>535</v>
      </c>
      <c r="D16" s="51" t="s">
        <v>18</v>
      </c>
      <c r="E16" s="37"/>
      <c r="F16" s="33"/>
      <c r="G16" s="33"/>
      <c r="H16" s="33"/>
      <c r="I16" s="33"/>
      <c r="J16" s="33"/>
      <c r="K16" s="33"/>
      <c r="L16" s="209" t="s">
        <v>746</v>
      </c>
      <c r="M16" s="33"/>
      <c r="N16" s="7"/>
      <c r="R16" s="223" t="s">
        <v>624</v>
      </c>
    </row>
    <row r="17" spans="2:18" ht="13.5" customHeight="1" x14ac:dyDescent="0.25">
      <c r="B17" s="264"/>
      <c r="C17" s="51" t="s">
        <v>40</v>
      </c>
      <c r="D17" s="51" t="s">
        <v>21</v>
      </c>
      <c r="E17" s="37"/>
      <c r="F17" s="33"/>
      <c r="G17" s="33"/>
      <c r="H17" s="33"/>
      <c r="I17" s="33"/>
      <c r="J17" s="33"/>
      <c r="K17" s="33"/>
      <c r="L17" s="209">
        <v>122</v>
      </c>
      <c r="M17" s="33"/>
      <c r="N17" s="7"/>
      <c r="R17" s="223"/>
    </row>
    <row r="18" spans="2:18" ht="4.5" customHeight="1" x14ac:dyDescent="0.25">
      <c r="L18" s="210"/>
      <c r="R18" s="223"/>
    </row>
    <row r="19" spans="2:18" ht="13.5" customHeight="1" x14ac:dyDescent="0.25">
      <c r="B19" s="262" t="s">
        <v>24</v>
      </c>
      <c r="C19" s="50" t="s">
        <v>39</v>
      </c>
      <c r="D19" s="50" t="s">
        <v>303</v>
      </c>
      <c r="E19" s="37"/>
      <c r="F19" s="33"/>
      <c r="G19" s="33"/>
      <c r="H19" s="33"/>
      <c r="I19" s="33"/>
      <c r="J19" s="33"/>
      <c r="K19" s="33"/>
      <c r="L19" s="209">
        <v>10</v>
      </c>
      <c r="M19" s="33"/>
      <c r="N19" s="7"/>
      <c r="R19" s="223"/>
    </row>
    <row r="20" spans="2:18" ht="13.5" customHeight="1" x14ac:dyDescent="0.25">
      <c r="B20" s="263"/>
      <c r="C20" s="50" t="s">
        <v>19</v>
      </c>
      <c r="D20" s="50" t="s">
        <v>536</v>
      </c>
      <c r="E20" s="37"/>
      <c r="F20" s="33"/>
      <c r="G20" s="33"/>
      <c r="H20" s="33"/>
      <c r="I20" s="33"/>
      <c r="J20" s="33"/>
      <c r="K20" s="33"/>
      <c r="L20" s="209">
        <v>1800</v>
      </c>
      <c r="M20" s="33"/>
      <c r="N20" s="7"/>
      <c r="R20" s="223"/>
    </row>
    <row r="21" spans="2:18" ht="13.5" customHeight="1" x14ac:dyDescent="0.25">
      <c r="B21" s="263"/>
      <c r="C21" s="50" t="s">
        <v>20</v>
      </c>
      <c r="D21" s="50" t="s">
        <v>536</v>
      </c>
      <c r="E21" s="37"/>
      <c r="F21" s="33"/>
      <c r="G21" s="33"/>
      <c r="H21" s="33"/>
      <c r="I21" s="33"/>
      <c r="J21" s="33"/>
      <c r="K21" s="33"/>
      <c r="L21" s="211">
        <v>1530</v>
      </c>
      <c r="M21" s="33"/>
      <c r="N21" s="7"/>
      <c r="R21" s="223" t="s">
        <v>625</v>
      </c>
    </row>
    <row r="22" spans="2:18" ht="13.5" customHeight="1" x14ac:dyDescent="0.25">
      <c r="B22" s="263"/>
      <c r="C22" s="50" t="s">
        <v>537</v>
      </c>
      <c r="D22" s="50" t="s">
        <v>548</v>
      </c>
      <c r="E22" s="37"/>
      <c r="F22" s="33"/>
      <c r="G22" s="33"/>
      <c r="H22" s="33"/>
      <c r="I22" s="33"/>
      <c r="J22" s="33"/>
      <c r="K22" s="200"/>
      <c r="L22" s="202"/>
      <c r="M22" s="201"/>
      <c r="N22" s="7"/>
    </row>
    <row r="23" spans="2:18" ht="13.5" customHeight="1" x14ac:dyDescent="0.25">
      <c r="B23" s="264"/>
      <c r="C23" s="50" t="s">
        <v>24</v>
      </c>
      <c r="D23" s="50" t="s">
        <v>25</v>
      </c>
      <c r="E23" s="37"/>
      <c r="F23" s="33"/>
      <c r="G23" s="33"/>
      <c r="H23" s="33"/>
      <c r="I23" s="33"/>
      <c r="J23" s="33"/>
      <c r="K23" s="200"/>
      <c r="L23" s="202"/>
      <c r="M23" s="201"/>
      <c r="N23" s="7"/>
    </row>
    <row r="24" spans="2:18" ht="4.5" customHeight="1" x14ac:dyDescent="0.25">
      <c r="L24" s="202"/>
    </row>
    <row r="25" spans="2:18" ht="13.5" customHeight="1" x14ac:dyDescent="0.25">
      <c r="B25" s="259" t="s">
        <v>466</v>
      </c>
      <c r="C25" s="51" t="s">
        <v>538</v>
      </c>
      <c r="D25" s="51" t="s">
        <v>539</v>
      </c>
      <c r="E25" s="37"/>
      <c r="F25" s="33"/>
      <c r="G25" s="33"/>
      <c r="H25" s="33"/>
      <c r="I25" s="33"/>
      <c r="J25" s="33"/>
      <c r="K25" s="200"/>
      <c r="L25" s="202"/>
      <c r="M25" s="201"/>
      <c r="N25" s="7"/>
    </row>
    <row r="26" spans="2:18" ht="13.5" customHeight="1" x14ac:dyDescent="0.25">
      <c r="B26" s="259"/>
      <c r="C26" s="51" t="s">
        <v>443</v>
      </c>
      <c r="D26" s="51" t="s">
        <v>442</v>
      </c>
      <c r="E26" s="37"/>
      <c r="F26" s="33"/>
      <c r="G26" s="33"/>
      <c r="H26" s="33"/>
      <c r="I26" s="33"/>
      <c r="J26" s="33"/>
      <c r="K26" s="200"/>
      <c r="L26" s="202"/>
      <c r="M26" s="201"/>
      <c r="N26" s="7"/>
    </row>
    <row r="27" spans="2:18" ht="13.5" customHeight="1" x14ac:dyDescent="0.25">
      <c r="B27" s="259"/>
      <c r="C27" s="51" t="s">
        <v>22</v>
      </c>
      <c r="D27" s="51" t="s">
        <v>531</v>
      </c>
      <c r="E27" s="37"/>
      <c r="F27" s="33"/>
      <c r="G27" s="33"/>
      <c r="H27" s="33"/>
      <c r="I27" s="33"/>
      <c r="J27" s="33"/>
      <c r="K27" s="200"/>
      <c r="L27" s="202"/>
      <c r="M27" s="201"/>
      <c r="N27" s="7"/>
    </row>
    <row r="28" spans="2:18" ht="13.5" customHeight="1" x14ac:dyDescent="0.25">
      <c r="B28" s="259"/>
      <c r="C28" s="51" t="s">
        <v>444</v>
      </c>
      <c r="D28" s="51" t="s">
        <v>445</v>
      </c>
      <c r="E28" s="37"/>
      <c r="F28" s="33"/>
      <c r="G28" s="33"/>
      <c r="H28" s="33"/>
      <c r="I28" s="33"/>
      <c r="J28" s="33"/>
      <c r="K28" s="200"/>
      <c r="L28" s="202"/>
      <c r="M28" s="201"/>
      <c r="N28" s="7"/>
    </row>
    <row r="29" spans="2:18" ht="13.5" customHeight="1" x14ac:dyDescent="0.25">
      <c r="B29" s="259"/>
      <c r="C29" s="51" t="s">
        <v>3</v>
      </c>
      <c r="D29" s="51" t="s">
        <v>529</v>
      </c>
      <c r="E29" s="37"/>
      <c r="F29" s="33"/>
      <c r="G29" s="33"/>
      <c r="H29" s="33"/>
      <c r="I29" s="33"/>
      <c r="J29" s="33"/>
      <c r="K29" s="200"/>
      <c r="L29" s="202"/>
      <c r="M29" s="201"/>
      <c r="N29" s="7"/>
    </row>
    <row r="30" spans="2:18" ht="13.5" customHeight="1" x14ac:dyDescent="0.25">
      <c r="B30" s="259"/>
      <c r="C30" s="51" t="s">
        <v>521</v>
      </c>
      <c r="D30" s="51" t="s">
        <v>486</v>
      </c>
      <c r="E30" s="37"/>
      <c r="F30" s="33"/>
      <c r="G30" s="33"/>
      <c r="H30" s="33"/>
      <c r="I30" s="33"/>
      <c r="J30" s="33"/>
      <c r="K30" s="200"/>
      <c r="L30" s="205">
        <v>7193787.5520000001</v>
      </c>
      <c r="M30" s="201"/>
      <c r="N30" s="7"/>
    </row>
    <row r="31" spans="2:18" ht="13.5" customHeight="1" x14ac:dyDescent="0.25">
      <c r="B31" s="259"/>
      <c r="C31" s="51" t="s">
        <v>483</v>
      </c>
      <c r="D31" s="51" t="s">
        <v>486</v>
      </c>
      <c r="E31" s="37"/>
      <c r="F31" s="33"/>
      <c r="G31" s="33"/>
      <c r="H31" s="33"/>
      <c r="I31" s="33"/>
      <c r="J31" s="33"/>
      <c r="K31" s="200"/>
      <c r="L31" s="206">
        <f>L30</f>
        <v>7193787.5520000001</v>
      </c>
      <c r="M31" s="201"/>
      <c r="N31" s="7"/>
    </row>
    <row r="32" spans="2:18" ht="13.5" customHeight="1" x14ac:dyDescent="0.25">
      <c r="B32" s="259"/>
      <c r="C32" s="51" t="s">
        <v>299</v>
      </c>
      <c r="D32" s="51" t="s">
        <v>300</v>
      </c>
      <c r="E32" s="37"/>
      <c r="F32" s="33"/>
      <c r="G32" s="33"/>
      <c r="H32" s="33"/>
      <c r="I32" s="33"/>
      <c r="J32" s="33"/>
      <c r="K32" s="200"/>
      <c r="L32" s="202"/>
      <c r="M32" s="201"/>
      <c r="N32" s="7"/>
    </row>
    <row r="33" spans="2:14" ht="13.5" customHeight="1" x14ac:dyDescent="0.25">
      <c r="B33" s="259"/>
      <c r="C33" s="51" t="s">
        <v>301</v>
      </c>
      <c r="D33" s="51" t="s">
        <v>302</v>
      </c>
      <c r="E33" s="37"/>
      <c r="F33" s="33"/>
      <c r="G33" s="33"/>
      <c r="H33" s="33"/>
      <c r="I33" s="33"/>
      <c r="J33" s="33"/>
      <c r="K33" s="200"/>
      <c r="L33" s="202"/>
      <c r="M33" s="201"/>
      <c r="N33" s="7"/>
    </row>
    <row r="34" spans="2:14" ht="4.5" customHeight="1" x14ac:dyDescent="0.25">
      <c r="L34" s="4"/>
    </row>
    <row r="35" spans="2:14" ht="13.5" customHeight="1" x14ac:dyDescent="0.25">
      <c r="B35" s="12"/>
      <c r="C35" s="12"/>
    </row>
    <row r="36" spans="2:14" ht="13.5" customHeight="1" x14ac:dyDescent="0.25">
      <c r="B36" s="260" t="s">
        <v>791</v>
      </c>
      <c r="C36" s="261"/>
      <c r="D36" s="261"/>
      <c r="E36" s="261"/>
      <c r="F36" s="261"/>
      <c r="G36" s="261"/>
      <c r="H36" s="261"/>
      <c r="I36" s="261"/>
      <c r="J36" s="261"/>
      <c r="K36" s="261"/>
      <c r="L36" s="261"/>
      <c r="M36" s="261"/>
      <c r="N36" s="261"/>
    </row>
    <row r="37" spans="2:14" ht="13.5" customHeight="1" x14ac:dyDescent="0.25">
      <c r="C37" s="13"/>
    </row>
    <row r="38" spans="2:14" ht="13.5" customHeight="1" x14ac:dyDescent="0.25">
      <c r="B38" s="262" t="s">
        <v>461</v>
      </c>
      <c r="C38" s="51" t="s">
        <v>17</v>
      </c>
      <c r="D38" s="51" t="s">
        <v>523</v>
      </c>
      <c r="E38" s="196">
        <v>24</v>
      </c>
      <c r="F38" s="197">
        <v>24</v>
      </c>
      <c r="G38" s="197">
        <v>24</v>
      </c>
      <c r="H38" s="197">
        <v>24</v>
      </c>
      <c r="I38" s="197">
        <v>24</v>
      </c>
      <c r="J38" s="197"/>
      <c r="K38" s="197"/>
      <c r="L38" s="197"/>
      <c r="M38" s="197"/>
      <c r="N38" s="198"/>
    </row>
    <row r="39" spans="2:14" ht="13.5" customHeight="1" x14ac:dyDescent="0.25">
      <c r="B39" s="263"/>
      <c r="C39" s="51" t="s">
        <v>36</v>
      </c>
      <c r="D39" s="51" t="s">
        <v>37</v>
      </c>
      <c r="E39" s="196">
        <v>31</v>
      </c>
      <c r="F39" s="197">
        <v>31</v>
      </c>
      <c r="G39" s="197">
        <v>31</v>
      </c>
      <c r="H39" s="197">
        <v>31</v>
      </c>
      <c r="I39" s="197">
        <v>31</v>
      </c>
      <c r="J39" s="197"/>
      <c r="K39" s="197"/>
      <c r="L39" s="197"/>
      <c r="M39" s="197"/>
      <c r="N39" s="198"/>
    </row>
    <row r="40" spans="2:14" ht="13.5" customHeight="1" x14ac:dyDescent="0.25">
      <c r="B40" s="263"/>
      <c r="C40" s="51" t="s">
        <v>439</v>
      </c>
      <c r="D40" s="51" t="s">
        <v>533</v>
      </c>
      <c r="E40" s="196">
        <v>26</v>
      </c>
      <c r="F40" s="197">
        <v>26</v>
      </c>
      <c r="G40" s="197">
        <v>26</v>
      </c>
      <c r="H40" s="197">
        <v>26</v>
      </c>
      <c r="I40" s="197">
        <v>26</v>
      </c>
      <c r="J40" s="197"/>
      <c r="K40" s="197"/>
      <c r="L40" s="197"/>
      <c r="M40" s="197"/>
      <c r="N40" s="198"/>
    </row>
    <row r="41" spans="2:14" ht="13.5" customHeight="1" x14ac:dyDescent="0.25">
      <c r="B41" s="263"/>
      <c r="C41" s="51" t="s">
        <v>547</v>
      </c>
      <c r="D41" s="51" t="s">
        <v>18</v>
      </c>
      <c r="E41" s="196">
        <v>115</v>
      </c>
      <c r="F41" s="197">
        <v>115</v>
      </c>
      <c r="G41" s="197">
        <v>115</v>
      </c>
      <c r="H41" s="197">
        <v>115</v>
      </c>
      <c r="I41" s="197">
        <v>115</v>
      </c>
      <c r="J41" s="197"/>
      <c r="K41" s="197"/>
      <c r="L41" s="197"/>
      <c r="M41" s="197"/>
      <c r="N41" s="198"/>
    </row>
    <row r="42" spans="2:14" ht="13.5" customHeight="1" x14ac:dyDescent="0.25">
      <c r="B42" s="263"/>
      <c r="C42" s="51" t="s">
        <v>534</v>
      </c>
      <c r="D42" s="51" t="s">
        <v>18</v>
      </c>
      <c r="E42" s="196">
        <v>10</v>
      </c>
      <c r="F42" s="197">
        <v>10</v>
      </c>
      <c r="G42" s="197">
        <v>10</v>
      </c>
      <c r="H42" s="197">
        <v>10</v>
      </c>
      <c r="I42" s="197">
        <v>10</v>
      </c>
      <c r="J42" s="197"/>
      <c r="K42" s="197"/>
      <c r="L42" s="197"/>
      <c r="M42" s="197"/>
      <c r="N42" s="198"/>
    </row>
    <row r="43" spans="2:14" ht="13.5" customHeight="1" x14ac:dyDescent="0.25">
      <c r="B43" s="263"/>
      <c r="C43" s="51" t="s">
        <v>535</v>
      </c>
      <c r="D43" s="51" t="s">
        <v>18</v>
      </c>
      <c r="E43" s="196">
        <v>60</v>
      </c>
      <c r="F43" s="197">
        <v>60</v>
      </c>
      <c r="G43" s="197">
        <v>60</v>
      </c>
      <c r="H43" s="197">
        <v>60</v>
      </c>
      <c r="I43" s="197">
        <v>60</v>
      </c>
      <c r="J43" s="197"/>
      <c r="K43" s="197"/>
      <c r="L43" s="197"/>
      <c r="M43" s="197"/>
      <c r="N43" s="198"/>
    </row>
    <row r="44" spans="2:14" ht="13.5" customHeight="1" x14ac:dyDescent="0.25">
      <c r="B44" s="264"/>
      <c r="C44" s="51" t="s">
        <v>40</v>
      </c>
      <c r="D44" s="51" t="s">
        <v>21</v>
      </c>
      <c r="E44" s="196">
        <v>2.2999999999999998</v>
      </c>
      <c r="F44" s="197">
        <v>2.2999999999999998</v>
      </c>
      <c r="G44" s="197">
        <v>2.2999999999999998</v>
      </c>
      <c r="H44" s="197">
        <v>2.2999999999999998</v>
      </c>
      <c r="I44" s="197">
        <v>2.2999999999999998</v>
      </c>
      <c r="J44" s="197"/>
      <c r="K44" s="197"/>
      <c r="L44" s="197"/>
      <c r="M44" s="197"/>
      <c r="N44" s="198"/>
    </row>
    <row r="45" spans="2:14" ht="13.5" customHeight="1" x14ac:dyDescent="0.25">
      <c r="E45" s="199"/>
      <c r="F45" s="199"/>
      <c r="G45" s="199"/>
      <c r="H45" s="199"/>
      <c r="I45" s="199"/>
      <c r="J45" s="199"/>
      <c r="K45" s="199"/>
      <c r="L45" s="199"/>
      <c r="M45" s="199"/>
      <c r="N45" s="199"/>
    </row>
    <row r="46" spans="2:14" ht="13.5" customHeight="1" x14ac:dyDescent="0.25">
      <c r="B46" s="262" t="s">
        <v>24</v>
      </c>
      <c r="C46" s="50" t="s">
        <v>39</v>
      </c>
      <c r="D46" s="50" t="s">
        <v>303</v>
      </c>
      <c r="E46" s="196">
        <v>75</v>
      </c>
      <c r="F46" s="197">
        <v>75</v>
      </c>
      <c r="G46" s="197">
        <v>75</v>
      </c>
      <c r="H46" s="197">
        <v>75</v>
      </c>
      <c r="I46" s="197">
        <v>75</v>
      </c>
      <c r="J46" s="197"/>
      <c r="K46" s="197"/>
      <c r="L46" s="197"/>
      <c r="M46" s="197"/>
      <c r="N46" s="198"/>
    </row>
    <row r="47" spans="2:14" ht="13.5" customHeight="1" x14ac:dyDescent="0.25">
      <c r="B47" s="263"/>
      <c r="C47" s="50" t="s">
        <v>19</v>
      </c>
      <c r="D47" s="50" t="s">
        <v>536</v>
      </c>
      <c r="E47" s="196">
        <v>450</v>
      </c>
      <c r="F47" s="197">
        <v>450</v>
      </c>
      <c r="G47" s="197">
        <v>450</v>
      </c>
      <c r="H47" s="197">
        <v>450</v>
      </c>
      <c r="I47" s="197">
        <v>450</v>
      </c>
      <c r="J47" s="197"/>
      <c r="K47" s="197"/>
      <c r="L47" s="197"/>
      <c r="M47" s="197"/>
      <c r="N47" s="198"/>
    </row>
    <row r="48" spans="2:14" ht="13.5" customHeight="1" x14ac:dyDescent="0.25">
      <c r="B48" s="263"/>
      <c r="C48" s="50" t="s">
        <v>20</v>
      </c>
      <c r="D48" s="50" t="s">
        <v>536</v>
      </c>
      <c r="E48" s="196">
        <v>75</v>
      </c>
      <c r="F48" s="197">
        <v>75</v>
      </c>
      <c r="G48" s="197">
        <v>75</v>
      </c>
      <c r="H48" s="197">
        <v>75</v>
      </c>
      <c r="I48" s="197">
        <v>75</v>
      </c>
      <c r="J48" s="197"/>
      <c r="K48" s="197"/>
      <c r="L48" s="197"/>
      <c r="M48" s="197"/>
      <c r="N48" s="198"/>
    </row>
    <row r="49" spans="2:14" ht="13.5" customHeight="1" x14ac:dyDescent="0.25">
      <c r="B49" s="263"/>
      <c r="C49" s="50" t="s">
        <v>537</v>
      </c>
      <c r="D49" s="50" t="s">
        <v>548</v>
      </c>
      <c r="E49" s="196"/>
      <c r="F49" s="197"/>
      <c r="G49" s="197"/>
      <c r="H49" s="197"/>
      <c r="I49" s="197"/>
      <c r="J49" s="197"/>
      <c r="K49" s="197"/>
      <c r="L49" s="197"/>
      <c r="M49" s="197"/>
      <c r="N49" s="198"/>
    </row>
    <row r="50" spans="2:14" ht="13.5" customHeight="1" x14ac:dyDescent="0.25">
      <c r="B50" s="264"/>
      <c r="C50" s="50" t="s">
        <v>24</v>
      </c>
      <c r="D50" s="50" t="s">
        <v>25</v>
      </c>
      <c r="E50" s="196"/>
      <c r="F50" s="197"/>
      <c r="G50" s="197"/>
      <c r="H50" s="197"/>
      <c r="I50" s="197"/>
      <c r="J50" s="197"/>
      <c r="K50" s="197"/>
      <c r="L50" s="197"/>
      <c r="M50" s="197"/>
      <c r="N50" s="198"/>
    </row>
    <row r="51" spans="2:14" ht="13.5" customHeight="1" x14ac:dyDescent="0.25">
      <c r="E51" s="199"/>
      <c r="F51" s="199"/>
      <c r="G51" s="199"/>
      <c r="H51" s="199"/>
      <c r="I51" s="199"/>
      <c r="J51" s="199"/>
      <c r="K51" s="199"/>
      <c r="L51" s="199"/>
      <c r="M51" s="199"/>
      <c r="N51" s="199"/>
    </row>
    <row r="52" spans="2:14" ht="13.5" customHeight="1" x14ac:dyDescent="0.25">
      <c r="B52" s="259" t="s">
        <v>466</v>
      </c>
      <c r="C52" s="51" t="s">
        <v>538</v>
      </c>
      <c r="D52" s="51" t="s">
        <v>539</v>
      </c>
      <c r="E52" s="196"/>
      <c r="F52" s="197"/>
      <c r="G52" s="197"/>
      <c r="H52" s="197"/>
      <c r="I52" s="197"/>
      <c r="J52" s="197"/>
      <c r="K52" s="197"/>
      <c r="L52" s="197"/>
      <c r="M52" s="197"/>
      <c r="N52" s="198"/>
    </row>
    <row r="53" spans="2:14" ht="13.5" customHeight="1" x14ac:dyDescent="0.25">
      <c r="B53" s="259"/>
      <c r="C53" s="51" t="s">
        <v>443</v>
      </c>
      <c r="D53" s="51" t="s">
        <v>442</v>
      </c>
      <c r="E53" s="196"/>
      <c r="F53" s="197"/>
      <c r="G53" s="197"/>
      <c r="H53" s="197"/>
      <c r="I53" s="197"/>
      <c r="J53" s="197"/>
      <c r="K53" s="197"/>
      <c r="L53" s="197"/>
      <c r="M53" s="197"/>
      <c r="N53" s="198"/>
    </row>
    <row r="54" spans="2:14" ht="13.5" customHeight="1" x14ac:dyDescent="0.25">
      <c r="B54" s="259"/>
      <c r="C54" s="51" t="s">
        <v>22</v>
      </c>
      <c r="D54" s="51" t="s">
        <v>531</v>
      </c>
      <c r="E54" s="196"/>
      <c r="F54" s="197"/>
      <c r="G54" s="197"/>
      <c r="H54" s="197"/>
      <c r="I54" s="197"/>
      <c r="J54" s="197"/>
      <c r="K54" s="197"/>
      <c r="L54" s="197"/>
      <c r="M54" s="197"/>
      <c r="N54" s="198"/>
    </row>
    <row r="55" spans="2:14" ht="13.5" customHeight="1" x14ac:dyDescent="0.25">
      <c r="B55" s="259"/>
      <c r="C55" s="51" t="s">
        <v>444</v>
      </c>
      <c r="D55" s="51" t="s">
        <v>445</v>
      </c>
      <c r="E55" s="196"/>
      <c r="F55" s="197"/>
      <c r="G55" s="197"/>
      <c r="H55" s="197"/>
      <c r="I55" s="197"/>
      <c r="J55" s="197"/>
      <c r="K55" s="197"/>
      <c r="L55" s="197"/>
      <c r="M55" s="197"/>
      <c r="N55" s="198"/>
    </row>
    <row r="56" spans="2:14" ht="13.5" customHeight="1" x14ac:dyDescent="0.25">
      <c r="B56" s="259"/>
      <c r="C56" s="51" t="s">
        <v>3</v>
      </c>
      <c r="D56" s="51" t="s">
        <v>529</v>
      </c>
      <c r="E56" s="196"/>
      <c r="F56" s="197"/>
      <c r="G56" s="197"/>
      <c r="H56" s="197"/>
      <c r="I56" s="197"/>
      <c r="J56" s="197"/>
      <c r="K56" s="197"/>
      <c r="L56" s="197"/>
      <c r="M56" s="197"/>
      <c r="N56" s="198"/>
    </row>
    <row r="57" spans="2:14" ht="13.5" customHeight="1" x14ac:dyDescent="0.25">
      <c r="B57" s="259"/>
      <c r="C57" s="51" t="s">
        <v>521</v>
      </c>
      <c r="D57" s="51" t="s">
        <v>486</v>
      </c>
      <c r="E57" s="196"/>
      <c r="F57" s="197"/>
      <c r="G57" s="197"/>
      <c r="H57" s="197"/>
      <c r="I57" s="197"/>
      <c r="J57" s="197"/>
      <c r="K57" s="197"/>
      <c r="L57" s="197"/>
      <c r="M57" s="197"/>
      <c r="N57" s="198"/>
    </row>
    <row r="58" spans="2:14" ht="13.5" customHeight="1" x14ac:dyDescent="0.25">
      <c r="B58" s="259"/>
      <c r="C58" s="51" t="s">
        <v>483</v>
      </c>
      <c r="D58" s="51" t="s">
        <v>486</v>
      </c>
      <c r="E58" s="196"/>
      <c r="F58" s="197"/>
      <c r="G58" s="197"/>
      <c r="H58" s="197"/>
      <c r="I58" s="197"/>
      <c r="J58" s="197"/>
      <c r="K58" s="197"/>
      <c r="L58" s="197"/>
      <c r="M58" s="197"/>
      <c r="N58" s="198"/>
    </row>
    <row r="59" spans="2:14" ht="13.5" customHeight="1" x14ac:dyDescent="0.25">
      <c r="B59" s="259"/>
      <c r="C59" s="51" t="s">
        <v>299</v>
      </c>
      <c r="D59" s="51" t="s">
        <v>300</v>
      </c>
      <c r="E59" s="196"/>
      <c r="F59" s="197"/>
      <c r="G59" s="197"/>
      <c r="H59" s="197"/>
      <c r="I59" s="197"/>
      <c r="J59" s="197"/>
      <c r="K59" s="197"/>
      <c r="L59" s="197"/>
      <c r="M59" s="197"/>
      <c r="N59" s="198"/>
    </row>
    <row r="60" spans="2:14" ht="13.5" customHeight="1" x14ac:dyDescent="0.25">
      <c r="B60" s="259"/>
      <c r="C60" s="51" t="s">
        <v>301</v>
      </c>
      <c r="D60" s="51" t="s">
        <v>302</v>
      </c>
      <c r="E60" s="196"/>
      <c r="F60" s="197"/>
      <c r="G60" s="197"/>
      <c r="H60" s="197"/>
      <c r="I60" s="197"/>
      <c r="J60" s="197"/>
      <c r="K60" s="197"/>
      <c r="L60" s="197"/>
      <c r="M60" s="197"/>
      <c r="N60" s="198"/>
    </row>
    <row r="62" spans="2:14" ht="13.5" customHeight="1" x14ac:dyDescent="0.25">
      <c r="B62" s="260" t="s">
        <v>719</v>
      </c>
      <c r="C62" s="261"/>
      <c r="D62" s="261"/>
      <c r="E62" s="261"/>
      <c r="F62" s="261"/>
      <c r="G62" s="261"/>
      <c r="H62" s="261"/>
      <c r="I62" s="261"/>
      <c r="J62" s="261"/>
      <c r="K62" s="261"/>
      <c r="L62" s="261"/>
      <c r="M62" s="261"/>
      <c r="N62" s="261"/>
    </row>
    <row r="63" spans="2:14" ht="13.5" customHeight="1" x14ac:dyDescent="0.25">
      <c r="C63" s="13"/>
    </row>
    <row r="64" spans="2:14" ht="13.5" customHeight="1" x14ac:dyDescent="0.25">
      <c r="B64" s="262" t="s">
        <v>461</v>
      </c>
      <c r="C64" s="51" t="s">
        <v>17</v>
      </c>
      <c r="D64" s="51" t="s">
        <v>523</v>
      </c>
      <c r="E64" s="196" t="s">
        <v>782</v>
      </c>
      <c r="F64" s="197" t="s">
        <v>782</v>
      </c>
      <c r="G64" s="197" t="s">
        <v>782</v>
      </c>
      <c r="H64" s="197" t="s">
        <v>782</v>
      </c>
      <c r="I64" s="197" t="s">
        <v>782</v>
      </c>
      <c r="J64" s="197"/>
      <c r="K64" s="197"/>
      <c r="L64" s="197"/>
      <c r="M64" s="197"/>
      <c r="N64" s="198"/>
    </row>
    <row r="65" spans="2:14" ht="13.5" customHeight="1" x14ac:dyDescent="0.25">
      <c r="B65" s="263"/>
      <c r="C65" s="51" t="s">
        <v>36</v>
      </c>
      <c r="D65" s="51" t="s">
        <v>37</v>
      </c>
      <c r="E65" s="196">
        <v>2</v>
      </c>
      <c r="F65" s="197">
        <v>2</v>
      </c>
      <c r="G65" s="197">
        <v>2</v>
      </c>
      <c r="H65" s="197">
        <v>2</v>
      </c>
      <c r="I65" s="197">
        <v>2</v>
      </c>
      <c r="J65" s="197"/>
      <c r="K65" s="197"/>
      <c r="L65" s="197"/>
      <c r="M65" s="197"/>
      <c r="N65" s="198"/>
    </row>
    <row r="66" spans="2:14" ht="13.5" customHeight="1" x14ac:dyDescent="0.25">
      <c r="B66" s="263"/>
      <c r="C66" s="51" t="s">
        <v>439</v>
      </c>
      <c r="D66" s="51" t="s">
        <v>533</v>
      </c>
      <c r="E66" s="196">
        <v>24.5</v>
      </c>
      <c r="F66" s="197">
        <v>24.5</v>
      </c>
      <c r="G66" s="197">
        <v>24.5</v>
      </c>
      <c r="H66" s="197">
        <v>24.5</v>
      </c>
      <c r="I66" s="197">
        <v>24.5</v>
      </c>
      <c r="J66" s="197"/>
      <c r="K66" s="197"/>
      <c r="L66" s="197"/>
      <c r="M66" s="197"/>
      <c r="N66" s="198"/>
    </row>
    <row r="67" spans="2:14" ht="13.5" customHeight="1" x14ac:dyDescent="0.25">
      <c r="B67" s="263"/>
      <c r="C67" s="51" t="s">
        <v>547</v>
      </c>
      <c r="D67" s="51" t="s">
        <v>18</v>
      </c>
      <c r="E67" s="196">
        <v>10</v>
      </c>
      <c r="F67" s="197">
        <v>10</v>
      </c>
      <c r="G67" s="197">
        <v>10</v>
      </c>
      <c r="H67" s="197">
        <v>10</v>
      </c>
      <c r="I67" s="197">
        <v>10</v>
      </c>
      <c r="J67" s="197"/>
      <c r="K67" s="197"/>
      <c r="L67" s="197"/>
      <c r="M67" s="197"/>
      <c r="N67" s="198"/>
    </row>
    <row r="68" spans="2:14" ht="13.5" customHeight="1" x14ac:dyDescent="0.25">
      <c r="B68" s="263"/>
      <c r="C68" s="51" t="s">
        <v>534</v>
      </c>
      <c r="D68" s="51" t="s">
        <v>18</v>
      </c>
      <c r="E68" s="196">
        <v>2.9</v>
      </c>
      <c r="F68" s="197">
        <v>2.9</v>
      </c>
      <c r="G68" s="197">
        <v>2.9</v>
      </c>
      <c r="H68" s="197">
        <v>2.9</v>
      </c>
      <c r="I68" s="197">
        <v>2.9</v>
      </c>
      <c r="J68" s="197"/>
      <c r="K68" s="197"/>
      <c r="L68" s="197"/>
      <c r="M68" s="197"/>
      <c r="N68" s="198"/>
    </row>
    <row r="69" spans="2:14" ht="13.5" customHeight="1" x14ac:dyDescent="0.25">
      <c r="B69" s="263"/>
      <c r="C69" s="51" t="s">
        <v>535</v>
      </c>
      <c r="D69" s="51" t="s">
        <v>18</v>
      </c>
      <c r="E69" s="196" t="s">
        <v>783</v>
      </c>
      <c r="F69" s="197" t="s">
        <v>783</v>
      </c>
      <c r="G69" s="197" t="s">
        <v>783</v>
      </c>
      <c r="H69" s="197" t="s">
        <v>783</v>
      </c>
      <c r="I69" s="197" t="s">
        <v>783</v>
      </c>
      <c r="J69" s="197"/>
      <c r="K69" s="197"/>
      <c r="L69" s="197"/>
      <c r="M69" s="197"/>
      <c r="N69" s="198"/>
    </row>
    <row r="70" spans="2:14" ht="13.5" customHeight="1" x14ac:dyDescent="0.25">
      <c r="B70" s="264"/>
      <c r="C70" s="51" t="s">
        <v>40</v>
      </c>
      <c r="D70" s="51" t="s">
        <v>21</v>
      </c>
      <c r="E70" s="196">
        <v>2</v>
      </c>
      <c r="F70" s="197">
        <v>2</v>
      </c>
      <c r="G70" s="197">
        <v>2</v>
      </c>
      <c r="H70" s="197">
        <v>2</v>
      </c>
      <c r="I70" s="197">
        <v>2</v>
      </c>
      <c r="J70" s="197"/>
      <c r="K70" s="197"/>
      <c r="L70" s="197"/>
      <c r="M70" s="197"/>
      <c r="N70" s="198"/>
    </row>
    <row r="71" spans="2:14" ht="13.5" customHeight="1" x14ac:dyDescent="0.25">
      <c r="E71" s="199"/>
      <c r="F71" s="199"/>
      <c r="G71" s="199"/>
      <c r="H71" s="199"/>
      <c r="I71" s="199"/>
      <c r="J71" s="199"/>
      <c r="K71" s="199"/>
      <c r="L71" s="199"/>
      <c r="M71" s="199"/>
      <c r="N71" s="199"/>
    </row>
    <row r="72" spans="2:14" ht="13.5" customHeight="1" x14ac:dyDescent="0.25">
      <c r="B72" s="262" t="s">
        <v>24</v>
      </c>
      <c r="C72" s="50" t="s">
        <v>39</v>
      </c>
      <c r="D72" s="50" t="s">
        <v>303</v>
      </c>
      <c r="E72" s="196">
        <v>13</v>
      </c>
      <c r="F72" s="197">
        <v>13</v>
      </c>
      <c r="G72" s="197">
        <v>13</v>
      </c>
      <c r="H72" s="197">
        <v>13</v>
      </c>
      <c r="I72" s="197">
        <v>13</v>
      </c>
      <c r="J72" s="197"/>
      <c r="K72" s="197"/>
      <c r="L72" s="197"/>
      <c r="M72" s="197"/>
      <c r="N72" s="198"/>
    </row>
    <row r="73" spans="2:14" ht="13.5" customHeight="1" x14ac:dyDescent="0.25">
      <c r="B73" s="263"/>
      <c r="C73" s="50" t="s">
        <v>19</v>
      </c>
      <c r="D73" s="50" t="s">
        <v>536</v>
      </c>
      <c r="E73" s="196">
        <v>270</v>
      </c>
      <c r="F73" s="197">
        <v>270</v>
      </c>
      <c r="G73" s="197">
        <v>270</v>
      </c>
      <c r="H73" s="197">
        <v>270</v>
      </c>
      <c r="I73" s="197">
        <v>270</v>
      </c>
      <c r="J73" s="197"/>
      <c r="K73" s="197"/>
      <c r="L73" s="197"/>
      <c r="M73" s="197"/>
      <c r="N73" s="198"/>
    </row>
    <row r="74" spans="2:14" ht="13.5" customHeight="1" x14ac:dyDescent="0.25">
      <c r="B74" s="263"/>
      <c r="C74" s="50" t="s">
        <v>20</v>
      </c>
      <c r="D74" s="50" t="s">
        <v>536</v>
      </c>
      <c r="E74" s="196">
        <v>156</v>
      </c>
      <c r="F74" s="197">
        <v>156</v>
      </c>
      <c r="G74" s="197">
        <v>156</v>
      </c>
      <c r="H74" s="197">
        <v>156</v>
      </c>
      <c r="I74" s="197">
        <v>156</v>
      </c>
      <c r="J74" s="197"/>
      <c r="K74" s="197"/>
      <c r="L74" s="197"/>
      <c r="M74" s="197"/>
      <c r="N74" s="198"/>
    </row>
    <row r="75" spans="2:14" ht="13.5" customHeight="1" x14ac:dyDescent="0.25">
      <c r="B75" s="263"/>
      <c r="C75" s="50" t="s">
        <v>537</v>
      </c>
      <c r="D75" s="50" t="s">
        <v>548</v>
      </c>
      <c r="E75" s="196"/>
      <c r="F75" s="197"/>
      <c r="G75" s="197"/>
      <c r="H75" s="197"/>
      <c r="I75" s="197"/>
      <c r="J75" s="197"/>
      <c r="K75" s="197"/>
      <c r="L75" s="197"/>
      <c r="M75" s="197"/>
      <c r="N75" s="198"/>
    </row>
    <row r="76" spans="2:14" ht="13.5" customHeight="1" x14ac:dyDescent="0.25">
      <c r="B76" s="264"/>
      <c r="C76" s="50" t="s">
        <v>24</v>
      </c>
      <c r="D76" s="50" t="s">
        <v>25</v>
      </c>
      <c r="E76" s="196"/>
      <c r="F76" s="197"/>
      <c r="G76" s="197"/>
      <c r="H76" s="197"/>
      <c r="I76" s="197"/>
      <c r="J76" s="197"/>
      <c r="K76" s="197"/>
      <c r="L76" s="197"/>
      <c r="M76" s="197"/>
      <c r="N76" s="198"/>
    </row>
    <row r="77" spans="2:14" ht="13.5" customHeight="1" x14ac:dyDescent="0.25">
      <c r="E77" s="199"/>
      <c r="F77" s="199"/>
      <c r="G77" s="199"/>
      <c r="H77" s="199"/>
      <c r="I77" s="199"/>
      <c r="J77" s="199"/>
      <c r="K77" s="199"/>
      <c r="L77" s="199"/>
      <c r="M77" s="199"/>
      <c r="N77" s="199"/>
    </row>
    <row r="78" spans="2:14" ht="13.5" customHeight="1" x14ac:dyDescent="0.25">
      <c r="B78" s="259" t="s">
        <v>466</v>
      </c>
      <c r="C78" s="51" t="s">
        <v>538</v>
      </c>
      <c r="D78" s="51" t="s">
        <v>539</v>
      </c>
      <c r="E78" s="196"/>
      <c r="F78" s="197"/>
      <c r="G78" s="197"/>
      <c r="H78" s="197"/>
      <c r="I78" s="197"/>
      <c r="J78" s="197"/>
      <c r="K78" s="197"/>
      <c r="L78" s="197"/>
      <c r="M78" s="197"/>
      <c r="N78" s="198"/>
    </row>
    <row r="79" spans="2:14" ht="13.5" customHeight="1" x14ac:dyDescent="0.25">
      <c r="B79" s="259"/>
      <c r="C79" s="51" t="s">
        <v>443</v>
      </c>
      <c r="D79" s="51" t="s">
        <v>442</v>
      </c>
      <c r="E79" s="196"/>
      <c r="F79" s="197"/>
      <c r="G79" s="197"/>
      <c r="H79" s="197"/>
      <c r="I79" s="197"/>
      <c r="J79" s="197"/>
      <c r="K79" s="197"/>
      <c r="L79" s="197"/>
      <c r="M79" s="197"/>
      <c r="N79" s="198"/>
    </row>
    <row r="80" spans="2:14" ht="13.5" customHeight="1" x14ac:dyDescent="0.25">
      <c r="B80" s="259"/>
      <c r="C80" s="51" t="s">
        <v>22</v>
      </c>
      <c r="D80" s="51" t="s">
        <v>531</v>
      </c>
      <c r="E80" s="196"/>
      <c r="F80" s="197"/>
      <c r="G80" s="197"/>
      <c r="H80" s="197"/>
      <c r="I80" s="197"/>
      <c r="J80" s="197"/>
      <c r="K80" s="197"/>
      <c r="L80" s="197"/>
      <c r="M80" s="197"/>
      <c r="N80" s="198"/>
    </row>
    <row r="81" spans="2:14" ht="13.5" customHeight="1" x14ac:dyDescent="0.25">
      <c r="B81" s="259"/>
      <c r="C81" s="51" t="s">
        <v>444</v>
      </c>
      <c r="D81" s="51" t="s">
        <v>445</v>
      </c>
      <c r="E81" s="196"/>
      <c r="F81" s="197"/>
      <c r="G81" s="197"/>
      <c r="H81" s="197"/>
      <c r="I81" s="197"/>
      <c r="J81" s="197"/>
      <c r="K81" s="197"/>
      <c r="L81" s="197"/>
      <c r="M81" s="197"/>
      <c r="N81" s="198"/>
    </row>
    <row r="82" spans="2:14" ht="13.5" customHeight="1" x14ac:dyDescent="0.25">
      <c r="B82" s="259"/>
      <c r="C82" s="51" t="s">
        <v>3</v>
      </c>
      <c r="D82" s="51" t="s">
        <v>529</v>
      </c>
      <c r="E82" s="196"/>
      <c r="F82" s="197"/>
      <c r="G82" s="197"/>
      <c r="H82" s="197"/>
      <c r="I82" s="197"/>
      <c r="J82" s="197"/>
      <c r="K82" s="197"/>
      <c r="L82" s="197"/>
      <c r="M82" s="197"/>
      <c r="N82" s="198"/>
    </row>
    <row r="83" spans="2:14" ht="13.5" customHeight="1" x14ac:dyDescent="0.25">
      <c r="B83" s="259"/>
      <c r="C83" s="51" t="s">
        <v>521</v>
      </c>
      <c r="D83" s="51" t="s">
        <v>486</v>
      </c>
      <c r="E83" s="196"/>
      <c r="F83" s="197"/>
      <c r="G83" s="197"/>
      <c r="H83" s="197"/>
      <c r="I83" s="197"/>
      <c r="J83" s="197"/>
      <c r="K83" s="197"/>
      <c r="L83" s="197"/>
      <c r="M83" s="197"/>
      <c r="N83" s="198"/>
    </row>
    <row r="84" spans="2:14" ht="13.5" customHeight="1" x14ac:dyDescent="0.25">
      <c r="B84" s="259"/>
      <c r="C84" s="51" t="s">
        <v>483</v>
      </c>
      <c r="D84" s="51" t="s">
        <v>486</v>
      </c>
      <c r="E84" s="196"/>
      <c r="F84" s="197"/>
      <c r="G84" s="197"/>
      <c r="H84" s="197"/>
      <c r="I84" s="197"/>
      <c r="J84" s="197"/>
      <c r="K84" s="197"/>
      <c r="L84" s="197"/>
      <c r="M84" s="197"/>
      <c r="N84" s="198"/>
    </row>
    <row r="85" spans="2:14" ht="13.5" customHeight="1" x14ac:dyDescent="0.25">
      <c r="B85" s="259"/>
      <c r="C85" s="51" t="s">
        <v>299</v>
      </c>
      <c r="D85" s="51" t="s">
        <v>300</v>
      </c>
      <c r="E85" s="196"/>
      <c r="F85" s="197"/>
      <c r="G85" s="197"/>
      <c r="H85" s="197"/>
      <c r="I85" s="197"/>
      <c r="J85" s="197"/>
      <c r="K85" s="197"/>
      <c r="L85" s="197"/>
      <c r="M85" s="197"/>
      <c r="N85" s="198"/>
    </row>
    <row r="86" spans="2:14" ht="13.5" customHeight="1" x14ac:dyDescent="0.25">
      <c r="B86" s="259"/>
      <c r="C86" s="51" t="s">
        <v>301</v>
      </c>
      <c r="D86" s="51" t="s">
        <v>302</v>
      </c>
      <c r="E86" s="196"/>
      <c r="F86" s="197"/>
      <c r="G86" s="197"/>
      <c r="H86" s="197"/>
      <c r="I86" s="197"/>
      <c r="J86" s="197"/>
      <c r="K86" s="197"/>
      <c r="L86" s="197"/>
      <c r="M86" s="197"/>
      <c r="N86" s="198"/>
    </row>
  </sheetData>
  <mergeCells count="20">
    <mergeCell ref="B62:N62"/>
    <mergeCell ref="B64:B70"/>
    <mergeCell ref="B72:B76"/>
    <mergeCell ref="B78:B86"/>
    <mergeCell ref="R6:R9"/>
    <mergeCell ref="B36:N36"/>
    <mergeCell ref="B38:B44"/>
    <mergeCell ref="B46:B50"/>
    <mergeCell ref="B52:B60"/>
    <mergeCell ref="B4:N4"/>
    <mergeCell ref="B9:N9"/>
    <mergeCell ref="B11:B17"/>
    <mergeCell ref="B19:B23"/>
    <mergeCell ref="B25:B33"/>
    <mergeCell ref="J6:K6"/>
    <mergeCell ref="L6:M6"/>
    <mergeCell ref="B6:B7"/>
    <mergeCell ref="C6:C7"/>
    <mergeCell ref="D6:D7"/>
    <mergeCell ref="E6:I6"/>
  </mergeCells>
  <phoneticPr fontId="0" type="noConversion"/>
  <pageMargins left="0.7" right="0.7" top="0.75" bottom="0.75" header="0.3" footer="0.3"/>
  <pageSetup paperSize="8" scale="54"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4"/>
  <sheetViews>
    <sheetView zoomScale="70" zoomScaleNormal="70" workbookViewId="0">
      <selection activeCell="M65" sqref="M65"/>
    </sheetView>
  </sheetViews>
  <sheetFormatPr defaultColWidth="9.140625" defaultRowHeight="13.5" customHeight="1" x14ac:dyDescent="0.25"/>
  <cols>
    <col min="1" max="1" width="0.85546875" style="9" customWidth="1"/>
    <col min="2" max="2" width="8.5703125" style="9" customWidth="1"/>
    <col min="3" max="3" width="34.28515625" style="9" customWidth="1"/>
    <col min="4" max="16" width="12.85546875" style="9" customWidth="1"/>
    <col min="17" max="17" width="0.85546875" style="9" customWidth="1"/>
    <col min="18" max="16384" width="9.140625" style="9"/>
  </cols>
  <sheetData>
    <row r="1" spans="2:16" s="5" customFormat="1" ht="4.5" customHeight="1" x14ac:dyDescent="0.25">
      <c r="B1" s="4"/>
    </row>
    <row r="2" spans="2:16" s="123" customFormat="1" ht="23.25" customHeight="1" x14ac:dyDescent="0.25">
      <c r="B2" s="123" t="str">
        <f>+'3.1 Mobilità e Rete TPL'!B2</f>
        <v>IMPIANTO DI TRASPORTO COLLETTIVO TRA LA CITTA' DI TRENTO ED IL MONTE BONDONE</v>
      </c>
      <c r="C2" s="126"/>
      <c r="D2" s="126"/>
      <c r="E2" s="126"/>
      <c r="F2" s="126"/>
      <c r="G2" s="126"/>
      <c r="H2" s="126"/>
      <c r="I2" s="126"/>
      <c r="J2" s="126"/>
      <c r="P2" s="125" t="str">
        <f>+'3.1 Mobilità e Rete TPL'!L2</f>
        <v>sottoprogramma 3</v>
      </c>
    </row>
    <row r="3" spans="2:16" ht="4.5" customHeight="1" x14ac:dyDescent="0.25"/>
    <row r="4" spans="2:16" s="5" customFormat="1" ht="13.5" customHeight="1" x14ac:dyDescent="0.25">
      <c r="B4" s="270" t="s">
        <v>511</v>
      </c>
      <c r="C4" s="271"/>
      <c r="D4" s="271"/>
      <c r="E4" s="271"/>
      <c r="F4" s="271"/>
      <c r="G4" s="271"/>
      <c r="H4" s="271"/>
      <c r="I4" s="271"/>
      <c r="J4" s="271"/>
      <c r="K4" s="271"/>
      <c r="L4" s="271"/>
      <c r="M4" s="271"/>
      <c r="N4" s="271"/>
      <c r="O4" s="271"/>
      <c r="P4" s="272"/>
    </row>
    <row r="5" spans="2:16" ht="4.5" customHeight="1" x14ac:dyDescent="0.25"/>
    <row r="6" spans="2:16" ht="13.5" customHeight="1" x14ac:dyDescent="0.25">
      <c r="B6" s="279" t="s">
        <v>474</v>
      </c>
      <c r="C6" s="280"/>
      <c r="D6" s="273" t="s">
        <v>621</v>
      </c>
      <c r="E6" s="274"/>
      <c r="F6" s="274"/>
      <c r="G6" s="274"/>
      <c r="H6" s="274"/>
      <c r="I6" s="274"/>
      <c r="J6" s="275"/>
      <c r="K6" s="252" t="s">
        <v>202</v>
      </c>
      <c r="L6" s="252"/>
      <c r="M6" s="252"/>
      <c r="N6" s="252"/>
      <c r="O6" s="252"/>
      <c r="P6" s="252"/>
    </row>
    <row r="7" spans="2:16" ht="45" customHeight="1" x14ac:dyDescent="0.25">
      <c r="B7" s="281"/>
      <c r="C7" s="282"/>
      <c r="D7" s="53" t="s">
        <v>200</v>
      </c>
      <c r="E7" s="53" t="s">
        <v>28</v>
      </c>
      <c r="F7" s="53" t="s">
        <v>478</v>
      </c>
      <c r="G7" s="53" t="s">
        <v>34</v>
      </c>
      <c r="H7" s="53" t="s">
        <v>33</v>
      </c>
      <c r="I7" s="53" t="s">
        <v>30</v>
      </c>
      <c r="J7" s="53" t="s">
        <v>32</v>
      </c>
      <c r="K7" s="53" t="s">
        <v>611</v>
      </c>
      <c r="L7" s="53" t="s">
        <v>612</v>
      </c>
      <c r="M7" s="54" t="s">
        <v>27</v>
      </c>
      <c r="N7" s="54" t="s">
        <v>41</v>
      </c>
      <c r="O7" s="133" t="s">
        <v>630</v>
      </c>
      <c r="P7" s="54" t="s">
        <v>177</v>
      </c>
    </row>
    <row r="8" spans="2:16" ht="4.5" customHeight="1" x14ac:dyDescent="0.25"/>
    <row r="9" spans="2:16" s="5" customFormat="1" ht="13.5" customHeight="1" x14ac:dyDescent="0.25">
      <c r="B9" s="276" t="s">
        <v>464</v>
      </c>
      <c r="C9" s="277"/>
      <c r="D9" s="277"/>
      <c r="E9" s="277"/>
      <c r="F9" s="277"/>
      <c r="G9" s="277"/>
      <c r="H9" s="277"/>
      <c r="I9" s="277"/>
      <c r="J9" s="277"/>
      <c r="K9" s="277"/>
      <c r="L9" s="277"/>
      <c r="M9" s="277"/>
      <c r="N9" s="277"/>
      <c r="O9" s="277"/>
      <c r="P9" s="278"/>
    </row>
    <row r="10" spans="2:16" ht="4.5" customHeight="1" x14ac:dyDescent="0.25"/>
    <row r="11" spans="2:16" ht="13.5" customHeight="1" x14ac:dyDescent="0.25">
      <c r="B11" s="267" t="s">
        <v>465</v>
      </c>
      <c r="C11" s="51" t="s">
        <v>174</v>
      </c>
      <c r="D11" s="18" t="s">
        <v>628</v>
      </c>
      <c r="E11" s="17">
        <v>11.700399999999998</v>
      </c>
      <c r="F11" s="18">
        <v>122</v>
      </c>
      <c r="G11" s="18">
        <v>10</v>
      </c>
      <c r="H11" s="18">
        <v>0</v>
      </c>
      <c r="I11" s="149">
        <v>16.236000000000001</v>
      </c>
      <c r="J11" s="18">
        <v>0.69669102056147236</v>
      </c>
      <c r="K11" s="19">
        <v>0</v>
      </c>
      <c r="L11" s="19">
        <v>0</v>
      </c>
      <c r="M11" s="19">
        <v>0</v>
      </c>
      <c r="N11" s="20">
        <v>0</v>
      </c>
      <c r="O11" s="20">
        <v>122</v>
      </c>
      <c r="P11" s="20">
        <v>122</v>
      </c>
    </row>
    <row r="12" spans="2:16" ht="13.5" customHeight="1" x14ac:dyDescent="0.25">
      <c r="B12" s="268"/>
      <c r="C12" s="72" t="s">
        <v>27</v>
      </c>
      <c r="D12" s="18"/>
      <c r="E12" s="18"/>
      <c r="F12" s="18"/>
      <c r="G12" s="18"/>
      <c r="H12" s="18"/>
      <c r="I12" s="18"/>
      <c r="J12" s="18"/>
      <c r="K12" s="19"/>
      <c r="L12" s="19"/>
      <c r="M12" s="19"/>
      <c r="N12" s="20"/>
      <c r="O12" s="20"/>
      <c r="P12" s="20"/>
    </row>
    <row r="13" spans="2:16" ht="13.5" customHeight="1" x14ac:dyDescent="0.25">
      <c r="B13" s="268"/>
      <c r="C13" s="72" t="s">
        <v>175</v>
      </c>
      <c r="D13" s="18"/>
      <c r="E13" s="18"/>
      <c r="F13" s="18"/>
      <c r="G13" s="18"/>
      <c r="H13" s="18"/>
      <c r="I13" s="18"/>
      <c r="J13" s="18"/>
      <c r="K13" s="21"/>
      <c r="L13" s="21"/>
      <c r="M13" s="21"/>
      <c r="N13" s="20"/>
      <c r="O13" s="20"/>
      <c r="P13" s="20"/>
    </row>
    <row r="14" spans="2:16" ht="13.5" customHeight="1" x14ac:dyDescent="0.25">
      <c r="B14" s="268"/>
      <c r="C14" s="72" t="s">
        <v>27</v>
      </c>
      <c r="D14" s="18"/>
      <c r="E14" s="18"/>
      <c r="F14" s="18"/>
      <c r="G14" s="18"/>
      <c r="H14" s="18"/>
      <c r="I14" s="18"/>
      <c r="J14" s="18"/>
      <c r="K14" s="21"/>
      <c r="L14" s="21"/>
      <c r="M14" s="21"/>
      <c r="N14" s="20"/>
      <c r="O14" s="20"/>
      <c r="P14" s="20"/>
    </row>
    <row r="15" spans="2:16" ht="13.5" customHeight="1" x14ac:dyDescent="0.25">
      <c r="B15" s="268"/>
      <c r="C15" s="72" t="s">
        <v>176</v>
      </c>
      <c r="D15" s="18"/>
      <c r="E15" s="18"/>
      <c r="F15" s="18"/>
      <c r="G15" s="18"/>
      <c r="H15" s="18"/>
      <c r="I15" s="18"/>
      <c r="J15" s="18"/>
      <c r="K15" s="21"/>
      <c r="L15" s="21"/>
      <c r="M15" s="21"/>
      <c r="N15" s="20"/>
      <c r="O15" s="20"/>
      <c r="P15" s="20"/>
    </row>
    <row r="16" spans="2:16" ht="13.5" customHeight="1" x14ac:dyDescent="0.25">
      <c r="B16" s="269"/>
      <c r="C16" s="73" t="s">
        <v>35</v>
      </c>
      <c r="D16" s="22"/>
      <c r="E16" s="22"/>
      <c r="F16" s="22"/>
      <c r="G16" s="22"/>
      <c r="H16" s="22"/>
      <c r="I16" s="22"/>
      <c r="J16" s="22"/>
      <c r="K16" s="93">
        <f t="shared" ref="K16:P16" si="0">SUM(K11:K15)</f>
        <v>0</v>
      </c>
      <c r="L16" s="93">
        <f t="shared" si="0"/>
        <v>0</v>
      </c>
      <c r="M16" s="93">
        <f t="shared" si="0"/>
        <v>0</v>
      </c>
      <c r="N16" s="93">
        <f t="shared" si="0"/>
        <v>0</v>
      </c>
      <c r="O16" s="93">
        <f t="shared" si="0"/>
        <v>122</v>
      </c>
      <c r="P16" s="93">
        <f t="shared" si="0"/>
        <v>122</v>
      </c>
    </row>
    <row r="17" spans="2:16" ht="4.5" customHeight="1" x14ac:dyDescent="0.25"/>
    <row r="18" spans="2:16" ht="13.5" customHeight="1" x14ac:dyDescent="0.25">
      <c r="B18" s="267" t="s">
        <v>463</v>
      </c>
      <c r="C18" s="51" t="s">
        <v>29</v>
      </c>
      <c r="D18" s="3"/>
      <c r="E18" s="23"/>
      <c r="F18" s="23"/>
      <c r="G18" s="23"/>
      <c r="H18" s="24"/>
      <c r="I18" s="24"/>
      <c r="J18" s="24"/>
      <c r="K18" s="25"/>
      <c r="L18" s="25"/>
      <c r="M18" s="25"/>
      <c r="N18" s="26"/>
      <c r="O18" s="26"/>
      <c r="P18" s="26"/>
    </row>
    <row r="19" spans="2:16" ht="13.5" customHeight="1" x14ac:dyDescent="0.25">
      <c r="B19" s="268"/>
      <c r="C19" s="72" t="s">
        <v>30</v>
      </c>
      <c r="D19" s="27"/>
      <c r="E19" s="24"/>
      <c r="F19" s="24"/>
      <c r="G19" s="24"/>
      <c r="H19" s="24"/>
      <c r="I19" s="24"/>
      <c r="J19" s="24"/>
      <c r="K19" s="25"/>
      <c r="L19" s="25"/>
      <c r="M19" s="25"/>
      <c r="N19" s="26"/>
      <c r="O19" s="26"/>
      <c r="P19" s="26"/>
    </row>
    <row r="20" spans="2:16" ht="13.5" customHeight="1" x14ac:dyDescent="0.25">
      <c r="B20" s="268"/>
      <c r="C20" s="72" t="s">
        <v>33</v>
      </c>
      <c r="D20" s="27"/>
      <c r="E20" s="24"/>
      <c r="F20" s="24"/>
      <c r="G20" s="24"/>
      <c r="H20" s="24"/>
      <c r="I20" s="24"/>
      <c r="J20" s="24"/>
      <c r="K20" s="28"/>
      <c r="L20" s="28"/>
      <c r="M20" s="28"/>
      <c r="N20" s="29"/>
      <c r="O20" s="29"/>
      <c r="P20" s="29"/>
    </row>
    <row r="21" spans="2:16" ht="13.5" customHeight="1" x14ac:dyDescent="0.25">
      <c r="B21" s="268"/>
      <c r="C21" s="72" t="s">
        <v>32</v>
      </c>
      <c r="D21" s="27"/>
      <c r="E21" s="24"/>
      <c r="F21" s="24"/>
      <c r="G21" s="24"/>
      <c r="H21" s="24"/>
      <c r="I21" s="24"/>
      <c r="J21" s="24"/>
      <c r="K21" s="28"/>
      <c r="L21" s="28"/>
      <c r="M21" s="28"/>
      <c r="N21" s="29"/>
      <c r="O21" s="29"/>
      <c r="P21" s="29"/>
    </row>
    <row r="22" spans="2:16" ht="13.5" customHeight="1" x14ac:dyDescent="0.25">
      <c r="B22" s="269"/>
      <c r="C22" s="72" t="s">
        <v>31</v>
      </c>
      <c r="D22" s="27"/>
      <c r="E22" s="24"/>
      <c r="F22" s="24"/>
      <c r="G22" s="24"/>
      <c r="H22" s="24"/>
      <c r="I22" s="24"/>
      <c r="J22" s="24"/>
      <c r="K22" s="30"/>
      <c r="L22" s="30"/>
      <c r="M22" s="30"/>
      <c r="N22" s="20"/>
      <c r="O22" s="20"/>
      <c r="P22" s="20"/>
    </row>
    <row r="25" spans="2:16" ht="13.5" customHeight="1" x14ac:dyDescent="0.25">
      <c r="C25" s="266" t="s">
        <v>626</v>
      </c>
      <c r="D25" s="266"/>
      <c r="E25" s="266"/>
      <c r="F25" s="266"/>
      <c r="G25" s="266"/>
      <c r="H25" s="266"/>
      <c r="I25" s="266"/>
      <c r="J25" s="266"/>
      <c r="K25" s="266"/>
      <c r="L25" s="266"/>
      <c r="M25" s="266"/>
      <c r="N25" s="266"/>
      <c r="O25" s="266"/>
      <c r="P25" s="266"/>
    </row>
    <row r="26" spans="2:16" ht="13.5" customHeight="1" x14ac:dyDescent="0.25">
      <c r="C26" s="224"/>
      <c r="D26" s="225" t="s">
        <v>690</v>
      </c>
      <c r="E26" s="226" t="s">
        <v>691</v>
      </c>
      <c r="F26" s="226">
        <v>122</v>
      </c>
      <c r="G26" s="226">
        <v>626</v>
      </c>
      <c r="H26" s="226" t="s">
        <v>692</v>
      </c>
      <c r="I26" s="224" t="s">
        <v>693</v>
      </c>
      <c r="J26" s="224"/>
      <c r="K26" s="214"/>
      <c r="L26" s="214"/>
      <c r="M26" s="214"/>
      <c r="N26" s="214"/>
      <c r="O26" s="214"/>
      <c r="P26" s="214"/>
    </row>
    <row r="27" spans="2:16" ht="13.5" customHeight="1" x14ac:dyDescent="0.25">
      <c r="C27" s="224"/>
      <c r="D27" s="225" t="s">
        <v>694</v>
      </c>
      <c r="E27" s="226" t="s">
        <v>695</v>
      </c>
      <c r="F27" s="226">
        <v>11.7</v>
      </c>
      <c r="G27" s="226">
        <v>733</v>
      </c>
      <c r="H27" s="226" t="s">
        <v>692</v>
      </c>
      <c r="I27" s="227" t="s">
        <v>747</v>
      </c>
      <c r="J27" s="227"/>
      <c r="K27" s="214"/>
      <c r="L27" s="214"/>
      <c r="M27" s="214"/>
      <c r="N27" s="214"/>
      <c r="O27" s="214"/>
      <c r="P27" s="214"/>
    </row>
    <row r="28" spans="2:16" ht="13.5" customHeight="1" x14ac:dyDescent="0.25">
      <c r="C28" s="224"/>
      <c r="D28" s="225" t="s">
        <v>696</v>
      </c>
      <c r="E28" s="226" t="s">
        <v>695</v>
      </c>
      <c r="F28" s="228">
        <v>16.23</v>
      </c>
      <c r="G28" s="226">
        <v>482</v>
      </c>
      <c r="H28" s="226" t="s">
        <v>692</v>
      </c>
      <c r="I28" s="229" t="s">
        <v>748</v>
      </c>
      <c r="J28" s="229"/>
      <c r="K28" s="214"/>
      <c r="L28" s="214"/>
      <c r="M28" s="214"/>
      <c r="N28" s="214"/>
      <c r="O28" s="214"/>
      <c r="P28" s="214"/>
    </row>
    <row r="29" spans="2:16" ht="13.5" customHeight="1" x14ac:dyDescent="0.25">
      <c r="C29" s="224"/>
      <c r="D29" s="225"/>
      <c r="E29" s="224"/>
      <c r="F29" s="224"/>
      <c r="G29" s="226">
        <v>1841</v>
      </c>
      <c r="H29" s="226" t="s">
        <v>692</v>
      </c>
      <c r="I29" s="224" t="s">
        <v>749</v>
      </c>
      <c r="J29" s="224"/>
      <c r="K29" s="214"/>
      <c r="L29" s="214"/>
      <c r="M29" s="214"/>
      <c r="N29" s="214"/>
      <c r="O29" s="214"/>
      <c r="P29" s="214"/>
    </row>
    <row r="30" spans="2:16" ht="13.5" customHeight="1" x14ac:dyDescent="0.25">
      <c r="C30" s="224"/>
      <c r="D30" s="224"/>
      <c r="E30" s="224"/>
      <c r="F30" s="224"/>
      <c r="G30" s="226">
        <v>0.75</v>
      </c>
      <c r="H30" s="226" t="s">
        <v>691</v>
      </c>
      <c r="I30" s="230" t="s">
        <v>697</v>
      </c>
      <c r="J30" s="230"/>
      <c r="K30" s="214"/>
      <c r="L30" s="214"/>
      <c r="M30" s="214"/>
      <c r="N30" s="214"/>
      <c r="O30" s="214"/>
      <c r="P30" s="214"/>
    </row>
    <row r="31" spans="2:16" ht="13.5" customHeight="1" x14ac:dyDescent="0.25">
      <c r="C31" s="224"/>
      <c r="D31" s="224"/>
      <c r="E31" s="224"/>
      <c r="F31" s="224"/>
      <c r="G31" s="228">
        <v>1380.75</v>
      </c>
      <c r="H31" s="226" t="s">
        <v>698</v>
      </c>
      <c r="I31" s="224" t="s">
        <v>699</v>
      </c>
      <c r="J31" s="224"/>
      <c r="K31" s="214"/>
      <c r="L31" s="214"/>
      <c r="M31" s="214"/>
      <c r="N31" s="214"/>
      <c r="O31" s="214"/>
      <c r="P31" s="214"/>
    </row>
    <row r="32" spans="2:16" ht="13.5" customHeight="1" x14ac:dyDescent="0.25">
      <c r="C32" s="224"/>
      <c r="D32" s="224"/>
      <c r="E32" s="224"/>
      <c r="F32" s="224"/>
      <c r="G32" s="214">
        <v>122</v>
      </c>
      <c r="H32" s="214" t="s">
        <v>700</v>
      </c>
      <c r="I32" s="224" t="s">
        <v>690</v>
      </c>
      <c r="J32" s="214"/>
      <c r="K32" s="214"/>
      <c r="L32" s="214"/>
      <c r="M32" s="214"/>
      <c r="N32" s="214"/>
      <c r="O32" s="214"/>
      <c r="P32" s="214"/>
    </row>
    <row r="33" spans="3:16" ht="13.5" customHeight="1" x14ac:dyDescent="0.25">
      <c r="C33" s="224"/>
      <c r="D33" s="224"/>
      <c r="E33" s="224"/>
      <c r="F33" s="224"/>
      <c r="G33" s="214">
        <v>16.23</v>
      </c>
      <c r="H33" s="214" t="s">
        <v>695</v>
      </c>
      <c r="I33" s="224" t="s">
        <v>701</v>
      </c>
      <c r="J33" s="214"/>
      <c r="K33" s="214"/>
      <c r="L33" s="214"/>
      <c r="M33" s="214"/>
      <c r="N33" s="214"/>
      <c r="O33" s="214"/>
      <c r="P33" s="214"/>
    </row>
    <row r="34" spans="3:16" ht="13.5" customHeight="1" x14ac:dyDescent="0.25">
      <c r="C34" s="214"/>
      <c r="D34" s="214"/>
      <c r="E34" s="214"/>
      <c r="F34" s="214"/>
      <c r="G34" s="214">
        <v>0.69732735371655408</v>
      </c>
      <c r="H34" s="214" t="s">
        <v>702</v>
      </c>
      <c r="I34" s="224" t="s">
        <v>703</v>
      </c>
      <c r="J34" s="214"/>
      <c r="K34" s="214"/>
      <c r="L34" s="214"/>
      <c r="M34" s="214"/>
      <c r="N34" s="214"/>
      <c r="O34" s="214"/>
      <c r="P34" s="214"/>
    </row>
  </sheetData>
  <mergeCells count="8">
    <mergeCell ref="C25:P25"/>
    <mergeCell ref="B18:B22"/>
    <mergeCell ref="B4:P4"/>
    <mergeCell ref="D6:J6"/>
    <mergeCell ref="K6:P6"/>
    <mergeCell ref="B11:B16"/>
    <mergeCell ref="B9:P9"/>
    <mergeCell ref="B6:C7"/>
  </mergeCells>
  <phoneticPr fontId="0" type="noConversion"/>
  <pageMargins left="0.7" right="0.7" top="0.75" bottom="0.75" header="0.3" footer="0.3"/>
  <pageSetup paperSize="8"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86"/>
  <sheetViews>
    <sheetView topLeftCell="C1" zoomScale="85" zoomScaleNormal="85" workbookViewId="0">
      <selection activeCell="R48" sqref="R48"/>
    </sheetView>
  </sheetViews>
  <sheetFormatPr defaultColWidth="9.140625" defaultRowHeight="13.5" customHeight="1" x14ac:dyDescent="0.25"/>
  <cols>
    <col min="1" max="1" width="0.85546875" style="5" customWidth="1"/>
    <col min="2" max="3" width="8.5703125" style="5" customWidth="1"/>
    <col min="4" max="4" width="56.5703125" style="5" bestFit="1" customWidth="1"/>
    <col min="5" max="5" width="8.5703125" style="5" customWidth="1"/>
    <col min="6" max="6" width="21.140625" style="5" bestFit="1" customWidth="1"/>
    <col min="7" max="8" width="13" style="5" customWidth="1"/>
    <col min="9" max="10" width="14" style="5" bestFit="1" customWidth="1"/>
    <col min="11" max="11" width="19.5703125" style="5" bestFit="1" customWidth="1"/>
    <col min="12" max="12" width="20" style="5" bestFit="1" customWidth="1"/>
    <col min="13" max="16" width="15.140625" style="5" bestFit="1" customWidth="1"/>
    <col min="17" max="17" width="21.7109375" style="5" bestFit="1" customWidth="1"/>
    <col min="18" max="18" width="21.5703125" style="5" bestFit="1" customWidth="1"/>
    <col min="19" max="19" width="17" style="5" bestFit="1" customWidth="1"/>
    <col min="20" max="21" width="9.140625" style="5"/>
    <col min="22" max="22" width="15" style="5" bestFit="1" customWidth="1"/>
    <col min="23" max="23" width="73.42578125" style="5" bestFit="1" customWidth="1"/>
    <col min="24" max="16384" width="9.140625" style="5"/>
  </cols>
  <sheetData>
    <row r="1" spans="2:23" ht="4.5" customHeight="1" x14ac:dyDescent="0.25">
      <c r="B1" s="4"/>
    </row>
    <row r="2" spans="2:23" s="123" customFormat="1" ht="23.25" customHeight="1" x14ac:dyDescent="0.25">
      <c r="B2" s="123" t="str">
        <f>+'3.1 Mobilità e Rete TPL'!B2</f>
        <v>IMPIANTO DI TRASPORTO COLLETTIVO TRA LA CITTA' DI TRENTO ED IL MONTE BONDONE</v>
      </c>
      <c r="C2" s="126"/>
      <c r="D2" s="126"/>
      <c r="E2" s="126"/>
      <c r="F2" s="126"/>
      <c r="G2" s="126"/>
      <c r="H2" s="126"/>
      <c r="I2" s="126"/>
      <c r="J2" s="126"/>
      <c r="K2" s="126"/>
      <c r="L2" s="126"/>
      <c r="M2" s="126"/>
      <c r="N2" s="126"/>
      <c r="O2" s="126"/>
      <c r="P2" s="126"/>
      <c r="Q2" s="126"/>
      <c r="S2" s="125" t="str">
        <f>+'3.1 Mobilità e Rete TPL'!L2</f>
        <v>sottoprogramma 3</v>
      </c>
    </row>
    <row r="3" spans="2:23" ht="4.5" customHeight="1" x14ac:dyDescent="0.25"/>
    <row r="4" spans="2:23" ht="13.5" customHeight="1" x14ac:dyDescent="0.25">
      <c r="B4" s="251" t="s">
        <v>512</v>
      </c>
      <c r="C4" s="251"/>
      <c r="D4" s="251"/>
      <c r="E4" s="251"/>
      <c r="F4" s="251"/>
      <c r="G4" s="251"/>
      <c r="H4" s="251"/>
      <c r="I4" s="251"/>
      <c r="J4" s="251"/>
      <c r="K4" s="251"/>
      <c r="L4" s="251"/>
      <c r="M4" s="251"/>
      <c r="N4" s="251"/>
      <c r="O4" s="251"/>
      <c r="P4" s="251"/>
      <c r="Q4" s="251"/>
      <c r="R4" s="251"/>
      <c r="S4" s="251"/>
    </row>
    <row r="5" spans="2:23" ht="4.5" customHeight="1" x14ac:dyDescent="0.25"/>
    <row r="6" spans="2:23" ht="13.5" customHeight="1" x14ac:dyDescent="0.25">
      <c r="B6" s="53" t="s">
        <v>42</v>
      </c>
      <c r="C6" s="53" t="s">
        <v>43</v>
      </c>
      <c r="D6" s="54" t="s">
        <v>44</v>
      </c>
      <c r="E6" s="54" t="s">
        <v>2</v>
      </c>
      <c r="F6" s="54" t="s">
        <v>45</v>
      </c>
      <c r="G6" s="139" t="s">
        <v>46</v>
      </c>
      <c r="H6" s="139" t="s">
        <v>27</v>
      </c>
      <c r="I6" s="139" t="s">
        <v>611</v>
      </c>
      <c r="J6" s="139" t="s">
        <v>612</v>
      </c>
      <c r="K6" s="139" t="s">
        <v>631</v>
      </c>
      <c r="L6" s="139" t="s">
        <v>632</v>
      </c>
      <c r="M6" s="139" t="s">
        <v>633</v>
      </c>
      <c r="N6" s="139" t="s">
        <v>634</v>
      </c>
      <c r="O6" s="139" t="s">
        <v>635</v>
      </c>
      <c r="P6" s="139" t="s">
        <v>636</v>
      </c>
      <c r="Q6" s="139" t="s">
        <v>637</v>
      </c>
      <c r="R6" s="139" t="s">
        <v>638</v>
      </c>
      <c r="S6" s="139" t="s">
        <v>639</v>
      </c>
    </row>
    <row r="7" spans="2:23" ht="4.5" customHeight="1" x14ac:dyDescent="0.25"/>
    <row r="8" spans="2:23" ht="13.5" customHeight="1" x14ac:dyDescent="0.25">
      <c r="B8" s="284" t="s">
        <v>47</v>
      </c>
      <c r="C8" s="55" t="s">
        <v>48</v>
      </c>
      <c r="D8" s="71" t="s">
        <v>49</v>
      </c>
      <c r="E8" s="71" t="s">
        <v>613</v>
      </c>
      <c r="F8" s="96">
        <f t="shared" ref="F8:F13" si="0">+SUM(G8:S8)</f>
        <v>1665000</v>
      </c>
      <c r="G8" s="150"/>
      <c r="H8" s="150"/>
      <c r="I8" s="150"/>
      <c r="J8" s="150"/>
      <c r="K8" s="150"/>
      <c r="L8" s="151">
        <v>360000</v>
      </c>
      <c r="M8" s="151">
        <v>382500</v>
      </c>
      <c r="N8" s="152">
        <v>382500</v>
      </c>
      <c r="O8" s="151"/>
      <c r="P8" s="151">
        <v>540000</v>
      </c>
      <c r="Q8" s="151"/>
      <c r="R8" s="151"/>
      <c r="S8" s="151"/>
      <c r="U8" s="134"/>
      <c r="V8" s="165"/>
      <c r="W8" s="5" t="s">
        <v>684</v>
      </c>
    </row>
    <row r="9" spans="2:23" ht="13.5" customHeight="1" x14ac:dyDescent="0.25">
      <c r="B9" s="284"/>
      <c r="C9" s="55" t="s">
        <v>50</v>
      </c>
      <c r="D9" s="71" t="s">
        <v>51</v>
      </c>
      <c r="E9" s="71" t="s">
        <v>613</v>
      </c>
      <c r="F9" s="96">
        <f t="shared" si="0"/>
        <v>923086.39999999991</v>
      </c>
      <c r="G9" s="153"/>
      <c r="H9" s="153"/>
      <c r="I9" s="153"/>
      <c r="J9" s="153"/>
      <c r="K9" s="153"/>
      <c r="L9" s="153"/>
      <c r="M9" s="153"/>
      <c r="N9" s="154"/>
      <c r="O9" s="154"/>
      <c r="P9" s="155">
        <v>923086.39999999991</v>
      </c>
      <c r="Q9" s="154"/>
      <c r="R9" s="154"/>
      <c r="S9" s="154"/>
      <c r="U9" s="137"/>
      <c r="V9" s="165"/>
      <c r="W9" s="159" t="s">
        <v>716</v>
      </c>
    </row>
    <row r="10" spans="2:23" ht="13.5" customHeight="1" x14ac:dyDescent="0.25">
      <c r="B10" s="284"/>
      <c r="C10" s="55" t="s">
        <v>52</v>
      </c>
      <c r="D10" s="71" t="s">
        <v>53</v>
      </c>
      <c r="E10" s="71" t="s">
        <v>613</v>
      </c>
      <c r="F10" s="96">
        <f t="shared" si="0"/>
        <v>1665000</v>
      </c>
      <c r="G10" s="150"/>
      <c r="H10" s="150"/>
      <c r="I10" s="150"/>
      <c r="J10" s="150"/>
      <c r="K10" s="150"/>
      <c r="L10" s="150"/>
      <c r="M10" s="150"/>
      <c r="N10" s="151"/>
      <c r="O10" s="151"/>
      <c r="P10" s="156">
        <v>555000</v>
      </c>
      <c r="Q10" s="151">
        <v>555000</v>
      </c>
      <c r="R10" s="151">
        <v>555000</v>
      </c>
      <c r="S10" s="151"/>
      <c r="U10" s="134"/>
      <c r="W10" s="5" t="s">
        <v>685</v>
      </c>
    </row>
    <row r="11" spans="2:23" ht="13.5" customHeight="1" x14ac:dyDescent="0.25">
      <c r="B11" s="284"/>
      <c r="C11" s="55" t="s">
        <v>54</v>
      </c>
      <c r="D11" s="71" t="s">
        <v>55</v>
      </c>
      <c r="E11" s="71" t="s">
        <v>613</v>
      </c>
      <c r="F11" s="96">
        <f t="shared" si="0"/>
        <v>500000</v>
      </c>
      <c r="G11" s="153"/>
      <c r="H11" s="153"/>
      <c r="I11" s="153"/>
      <c r="J11" s="153"/>
      <c r="K11" s="153"/>
      <c r="L11" s="153"/>
      <c r="M11" s="153"/>
      <c r="N11" s="154"/>
      <c r="O11" s="155">
        <v>500000</v>
      </c>
      <c r="P11" s="155"/>
      <c r="Q11" s="154"/>
      <c r="R11" s="154"/>
      <c r="S11" s="154"/>
      <c r="U11" s="137"/>
      <c r="W11" s="159" t="s">
        <v>670</v>
      </c>
    </row>
    <row r="12" spans="2:23" ht="13.5" customHeight="1" x14ac:dyDescent="0.25">
      <c r="B12" s="284"/>
      <c r="C12" s="55" t="s">
        <v>56</v>
      </c>
      <c r="D12" s="71" t="s">
        <v>236</v>
      </c>
      <c r="E12" s="71" t="s">
        <v>613</v>
      </c>
      <c r="F12" s="96">
        <f t="shared" si="0"/>
        <v>5200000</v>
      </c>
      <c r="G12" s="150"/>
      <c r="H12" s="150"/>
      <c r="I12" s="150"/>
      <c r="J12" s="150"/>
      <c r="K12" s="150"/>
      <c r="L12" s="150"/>
      <c r="M12" s="150"/>
      <c r="N12" s="151"/>
      <c r="O12" s="151"/>
      <c r="P12" s="152">
        <v>4600000</v>
      </c>
      <c r="Q12" s="151"/>
      <c r="R12" s="151"/>
      <c r="S12" s="151">
        <v>600000</v>
      </c>
      <c r="U12" s="134"/>
      <c r="W12" s="5" t="s">
        <v>704</v>
      </c>
    </row>
    <row r="13" spans="2:23" ht="13.5" customHeight="1" x14ac:dyDescent="0.25">
      <c r="B13" s="284"/>
      <c r="C13" s="55" t="s">
        <v>590</v>
      </c>
      <c r="D13" s="71" t="s">
        <v>575</v>
      </c>
      <c r="E13" s="71" t="s">
        <v>613</v>
      </c>
      <c r="F13" s="96">
        <f t="shared" si="0"/>
        <v>148000</v>
      </c>
      <c r="G13" s="150"/>
      <c r="H13" s="150"/>
      <c r="I13" s="150"/>
      <c r="J13" s="150"/>
      <c r="K13" s="150"/>
      <c r="L13" s="150"/>
      <c r="M13" s="150"/>
      <c r="N13" s="151"/>
      <c r="O13" s="151"/>
      <c r="P13" s="151"/>
      <c r="Q13" s="151">
        <v>103600</v>
      </c>
      <c r="R13" s="151">
        <v>44400</v>
      </c>
      <c r="S13" s="151"/>
      <c r="U13" s="134"/>
      <c r="V13" s="165"/>
      <c r="W13" s="5" t="s">
        <v>686</v>
      </c>
    </row>
    <row r="14" spans="2:23" ht="4.5" customHeight="1" x14ac:dyDescent="0.25">
      <c r="S14" s="151"/>
    </row>
    <row r="15" spans="2:23" ht="13.5" customHeight="1" x14ac:dyDescent="0.25">
      <c r="B15" s="291" t="s">
        <v>253</v>
      </c>
      <c r="C15" s="55" t="s">
        <v>591</v>
      </c>
      <c r="D15" s="51" t="s">
        <v>576</v>
      </c>
      <c r="E15" s="71" t="s">
        <v>613</v>
      </c>
      <c r="F15" s="96">
        <f t="shared" ref="F15:F35" si="1">+SUM(G15:S15)</f>
        <v>0</v>
      </c>
      <c r="G15" s="157"/>
      <c r="H15" s="157"/>
      <c r="I15" s="150"/>
      <c r="J15" s="152"/>
      <c r="K15" s="152"/>
      <c r="L15" s="152"/>
      <c r="M15" s="152"/>
      <c r="N15" s="152"/>
      <c r="O15" s="152"/>
      <c r="P15" s="152"/>
      <c r="Q15" s="157"/>
      <c r="R15" s="157"/>
      <c r="S15" s="151"/>
      <c r="U15" s="134"/>
    </row>
    <row r="16" spans="2:23" ht="13.5" customHeight="1" x14ac:dyDescent="0.25">
      <c r="B16" s="291"/>
      <c r="C16" s="55" t="s">
        <v>57</v>
      </c>
      <c r="D16" s="51" t="s">
        <v>237</v>
      </c>
      <c r="E16" s="71" t="s">
        <v>613</v>
      </c>
      <c r="F16" s="96">
        <f t="shared" si="1"/>
        <v>0</v>
      </c>
      <c r="G16" s="157"/>
      <c r="H16" s="157"/>
      <c r="I16" s="150"/>
      <c r="J16" s="152"/>
      <c r="K16" s="152"/>
      <c r="L16" s="152"/>
      <c r="M16" s="152"/>
      <c r="N16" s="152"/>
      <c r="O16" s="152"/>
      <c r="P16" s="152"/>
      <c r="Q16" s="157"/>
      <c r="R16" s="157"/>
      <c r="S16" s="151"/>
      <c r="U16" s="5" t="s">
        <v>671</v>
      </c>
    </row>
    <row r="17" spans="2:23" ht="13.5" customHeight="1" x14ac:dyDescent="0.25">
      <c r="B17" s="292"/>
      <c r="C17" s="55" t="s">
        <v>58</v>
      </c>
      <c r="D17" s="51" t="s">
        <v>238</v>
      </c>
      <c r="E17" s="71" t="s">
        <v>613</v>
      </c>
      <c r="F17" s="96">
        <f t="shared" si="1"/>
        <v>0</v>
      </c>
      <c r="G17" s="157"/>
      <c r="H17" s="157"/>
      <c r="I17" s="157"/>
      <c r="J17" s="157"/>
      <c r="K17" s="157"/>
      <c r="L17" s="157"/>
      <c r="M17" s="157"/>
      <c r="N17" s="157"/>
      <c r="O17" s="157"/>
      <c r="P17" s="157"/>
      <c r="Q17" s="157"/>
      <c r="R17" s="157"/>
      <c r="S17" s="151"/>
      <c r="U17" s="5" t="s">
        <v>671</v>
      </c>
    </row>
    <row r="18" spans="2:23" ht="13.5" customHeight="1" x14ac:dyDescent="0.25">
      <c r="B18" s="292"/>
      <c r="C18" s="55" t="s">
        <v>59</v>
      </c>
      <c r="D18" s="51" t="s">
        <v>577</v>
      </c>
      <c r="E18" s="71" t="s">
        <v>613</v>
      </c>
      <c r="F18" s="96">
        <f t="shared" si="1"/>
        <v>0</v>
      </c>
      <c r="G18" s="157"/>
      <c r="H18" s="157"/>
      <c r="I18" s="157"/>
      <c r="J18" s="157"/>
      <c r="K18" s="157"/>
      <c r="L18" s="157"/>
      <c r="M18" s="157"/>
      <c r="N18" s="157"/>
      <c r="O18" s="157"/>
      <c r="P18" s="157"/>
      <c r="Q18" s="157"/>
      <c r="R18" s="157"/>
      <c r="S18" s="151"/>
      <c r="U18" s="5" t="s">
        <v>671</v>
      </c>
    </row>
    <row r="19" spans="2:23" ht="13.5" customHeight="1" x14ac:dyDescent="0.25">
      <c r="B19" s="292"/>
      <c r="C19" s="55" t="s">
        <v>60</v>
      </c>
      <c r="D19" s="51" t="s">
        <v>239</v>
      </c>
      <c r="E19" s="71" t="s">
        <v>613</v>
      </c>
      <c r="F19" s="96">
        <f t="shared" si="1"/>
        <v>3100000</v>
      </c>
      <c r="G19" s="158"/>
      <c r="H19" s="158"/>
      <c r="I19" s="158"/>
      <c r="J19" s="158"/>
      <c r="K19" s="158"/>
      <c r="L19" s="158"/>
      <c r="M19" s="158"/>
      <c r="N19" s="158"/>
      <c r="O19" s="158"/>
      <c r="P19" s="155">
        <v>775000</v>
      </c>
      <c r="Q19" s="155">
        <v>1395000</v>
      </c>
      <c r="R19" s="155">
        <v>930000</v>
      </c>
      <c r="S19" s="151"/>
      <c r="U19" s="137"/>
      <c r="V19" s="161">
        <v>2500000</v>
      </c>
      <c r="W19" s="160" t="s">
        <v>713</v>
      </c>
    </row>
    <row r="20" spans="2:23" ht="13.5" customHeight="1" x14ac:dyDescent="0.25">
      <c r="B20" s="292"/>
      <c r="C20" s="55" t="s">
        <v>61</v>
      </c>
      <c r="D20" s="51" t="s">
        <v>240</v>
      </c>
      <c r="E20" s="71" t="s">
        <v>613</v>
      </c>
      <c r="F20" s="96">
        <f t="shared" si="1"/>
        <v>955500</v>
      </c>
      <c r="G20" s="152"/>
      <c r="H20" s="152"/>
      <c r="I20" s="152"/>
      <c r="J20" s="152"/>
      <c r="K20" s="152"/>
      <c r="L20" s="152"/>
      <c r="M20" s="152"/>
      <c r="N20" s="152"/>
      <c r="O20" s="152"/>
      <c r="P20" s="157">
        <v>238875</v>
      </c>
      <c r="Q20" s="157">
        <v>429975</v>
      </c>
      <c r="R20" s="157">
        <v>286650</v>
      </c>
      <c r="S20" s="151"/>
      <c r="V20" s="161">
        <v>400000</v>
      </c>
      <c r="W20" s="5" t="s">
        <v>672</v>
      </c>
    </row>
    <row r="21" spans="2:23" ht="13.5" customHeight="1" x14ac:dyDescent="0.25">
      <c r="B21" s="292"/>
      <c r="C21" s="55" t="s">
        <v>62</v>
      </c>
      <c r="D21" s="51" t="s">
        <v>241</v>
      </c>
      <c r="E21" s="71" t="s">
        <v>613</v>
      </c>
      <c r="F21" s="96">
        <f t="shared" si="1"/>
        <v>0</v>
      </c>
      <c r="G21" s="152"/>
      <c r="H21" s="152"/>
      <c r="I21" s="152"/>
      <c r="J21" s="152"/>
      <c r="K21" s="152"/>
      <c r="L21" s="152"/>
      <c r="M21" s="152"/>
      <c r="N21" s="152"/>
      <c r="O21" s="152"/>
      <c r="P21" s="152"/>
      <c r="Q21" s="152"/>
      <c r="R21" s="152"/>
      <c r="S21" s="151"/>
      <c r="U21" s="5" t="s">
        <v>673</v>
      </c>
    </row>
    <row r="22" spans="2:23" ht="13.5" customHeight="1" x14ac:dyDescent="0.25">
      <c r="B22" s="292"/>
      <c r="C22" s="55" t="s">
        <v>63</v>
      </c>
      <c r="D22" s="51" t="s">
        <v>242</v>
      </c>
      <c r="E22" s="71" t="s">
        <v>613</v>
      </c>
      <c r="F22" s="96">
        <f t="shared" si="1"/>
        <v>0</v>
      </c>
      <c r="G22" s="152"/>
      <c r="H22" s="152"/>
      <c r="I22" s="152"/>
      <c r="J22" s="152"/>
      <c r="K22" s="152"/>
      <c r="L22" s="152"/>
      <c r="M22" s="152"/>
      <c r="N22" s="152"/>
      <c r="O22" s="152"/>
      <c r="P22" s="152"/>
      <c r="Q22" s="156"/>
      <c r="R22" s="152"/>
      <c r="S22" s="151"/>
      <c r="U22" s="134"/>
    </row>
    <row r="23" spans="2:23" ht="13.5" customHeight="1" x14ac:dyDescent="0.25">
      <c r="B23" s="292"/>
      <c r="C23" s="55" t="s">
        <v>64</v>
      </c>
      <c r="D23" s="51" t="s">
        <v>243</v>
      </c>
      <c r="E23" s="71" t="s">
        <v>613</v>
      </c>
      <c r="F23" s="96">
        <f t="shared" si="1"/>
        <v>0</v>
      </c>
      <c r="G23" s="152"/>
      <c r="H23" s="152"/>
      <c r="I23" s="152"/>
      <c r="J23" s="152"/>
      <c r="K23" s="152"/>
      <c r="L23" s="152"/>
      <c r="M23" s="152"/>
      <c r="N23" s="152"/>
      <c r="O23" s="152"/>
      <c r="P23" s="152"/>
      <c r="Q23" s="152"/>
      <c r="R23" s="152"/>
      <c r="S23" s="151"/>
      <c r="U23" s="5" t="s">
        <v>673</v>
      </c>
    </row>
    <row r="24" spans="2:23" ht="13.5" customHeight="1" x14ac:dyDescent="0.25">
      <c r="B24" s="292"/>
      <c r="C24" s="55" t="s">
        <v>65</v>
      </c>
      <c r="D24" s="51" t="s">
        <v>244</v>
      </c>
      <c r="E24" s="71" t="s">
        <v>613</v>
      </c>
      <c r="F24" s="96">
        <f t="shared" si="1"/>
        <v>0</v>
      </c>
      <c r="G24" s="152"/>
      <c r="H24" s="152"/>
      <c r="I24" s="152"/>
      <c r="J24" s="152"/>
      <c r="K24" s="152"/>
      <c r="L24" s="152"/>
      <c r="M24" s="152"/>
      <c r="N24" s="152"/>
      <c r="O24" s="152"/>
      <c r="P24" s="152"/>
      <c r="Q24" s="152"/>
      <c r="R24" s="152"/>
      <c r="S24" s="151"/>
      <c r="U24" s="5" t="s">
        <v>673</v>
      </c>
    </row>
    <row r="25" spans="2:23" ht="13.5" customHeight="1" x14ac:dyDescent="0.25">
      <c r="B25" s="292"/>
      <c r="C25" s="55" t="s">
        <v>66</v>
      </c>
      <c r="D25" s="51" t="s">
        <v>245</v>
      </c>
      <c r="E25" s="71" t="s">
        <v>613</v>
      </c>
      <c r="F25" s="96">
        <f t="shared" si="1"/>
        <v>3350000</v>
      </c>
      <c r="G25" s="157"/>
      <c r="H25" s="157"/>
      <c r="I25" s="157"/>
      <c r="J25" s="157"/>
      <c r="K25" s="157"/>
      <c r="L25" s="157"/>
      <c r="M25" s="157"/>
      <c r="N25" s="157"/>
      <c r="O25" s="157"/>
      <c r="P25" s="157">
        <v>837500</v>
      </c>
      <c r="Q25" s="157">
        <v>1507500</v>
      </c>
      <c r="R25" s="157">
        <v>1005000</v>
      </c>
      <c r="S25" s="151"/>
      <c r="V25" s="161">
        <v>2500000</v>
      </c>
      <c r="W25" s="5" t="s">
        <v>674</v>
      </c>
    </row>
    <row r="26" spans="2:23" ht="13.5" customHeight="1" x14ac:dyDescent="0.25">
      <c r="B26" s="292"/>
      <c r="C26" s="55" t="s">
        <v>67</v>
      </c>
      <c r="D26" s="51" t="s">
        <v>246</v>
      </c>
      <c r="E26" s="71" t="s">
        <v>613</v>
      </c>
      <c r="F26" s="96">
        <f t="shared" si="1"/>
        <v>0</v>
      </c>
      <c r="G26" s="157"/>
      <c r="H26" s="157"/>
      <c r="I26" s="157"/>
      <c r="J26" s="157"/>
      <c r="K26" s="157"/>
      <c r="L26" s="157"/>
      <c r="M26" s="157"/>
      <c r="N26" s="157"/>
      <c r="O26" s="157"/>
      <c r="P26" s="157"/>
      <c r="Q26" s="157"/>
      <c r="R26" s="157"/>
      <c r="S26" s="151"/>
      <c r="U26" s="9" t="s">
        <v>673</v>
      </c>
    </row>
    <row r="27" spans="2:23" ht="13.5" customHeight="1" x14ac:dyDescent="0.25">
      <c r="B27" s="292"/>
      <c r="C27" s="55" t="s">
        <v>68</v>
      </c>
      <c r="D27" s="51" t="s">
        <v>247</v>
      </c>
      <c r="E27" s="71" t="s">
        <v>613</v>
      </c>
      <c r="F27" s="96">
        <f t="shared" si="1"/>
        <v>1700000</v>
      </c>
      <c r="G27" s="152"/>
      <c r="H27" s="152"/>
      <c r="I27" s="152"/>
      <c r="J27" s="152"/>
      <c r="K27" s="152"/>
      <c r="L27" s="152"/>
      <c r="M27" s="152"/>
      <c r="N27" s="152"/>
      <c r="O27" s="152"/>
      <c r="P27" s="152">
        <v>425000</v>
      </c>
      <c r="Q27" s="152">
        <v>765000</v>
      </c>
      <c r="R27" s="152">
        <v>510000</v>
      </c>
      <c r="S27" s="151"/>
      <c r="U27" s="9"/>
      <c r="V27" s="161">
        <f>F27</f>
        <v>1700000</v>
      </c>
      <c r="W27" s="5" t="s">
        <v>705</v>
      </c>
    </row>
    <row r="28" spans="2:23" ht="13.5" customHeight="1" x14ac:dyDescent="0.25">
      <c r="B28" s="292"/>
      <c r="C28" s="55" t="s">
        <v>69</v>
      </c>
      <c r="D28" s="51" t="s">
        <v>559</v>
      </c>
      <c r="E28" s="71" t="s">
        <v>613</v>
      </c>
      <c r="F28" s="96">
        <f t="shared" si="1"/>
        <v>1600000</v>
      </c>
      <c r="G28" s="158"/>
      <c r="H28" s="158"/>
      <c r="I28" s="158"/>
      <c r="J28" s="158"/>
      <c r="K28" s="158"/>
      <c r="L28" s="158"/>
      <c r="M28" s="158"/>
      <c r="N28" s="158"/>
      <c r="O28" s="158"/>
      <c r="P28" s="158">
        <v>400000</v>
      </c>
      <c r="Q28" s="158">
        <v>720000</v>
      </c>
      <c r="R28" s="158">
        <v>480000</v>
      </c>
      <c r="S28" s="151"/>
      <c r="U28" s="137"/>
      <c r="V28" s="161"/>
      <c r="W28" s="10" t="s">
        <v>706</v>
      </c>
    </row>
    <row r="29" spans="2:23" ht="13.5" customHeight="1" x14ac:dyDescent="0.25">
      <c r="B29" s="292"/>
      <c r="C29" s="55" t="s">
        <v>70</v>
      </c>
      <c r="D29" s="51" t="s">
        <v>560</v>
      </c>
      <c r="E29" s="71" t="s">
        <v>613</v>
      </c>
      <c r="F29" s="96">
        <f t="shared" si="1"/>
        <v>3000000</v>
      </c>
      <c r="G29" s="152"/>
      <c r="H29" s="152"/>
      <c r="I29" s="152"/>
      <c r="J29" s="152"/>
      <c r="K29" s="152"/>
      <c r="L29" s="152"/>
      <c r="M29" s="152"/>
      <c r="N29" s="152"/>
      <c r="O29" s="152"/>
      <c r="P29" s="152">
        <v>750000</v>
      </c>
      <c r="Q29" s="152">
        <v>1350000</v>
      </c>
      <c r="R29" s="152">
        <v>900000</v>
      </c>
      <c r="S29" s="151"/>
      <c r="U29" s="134"/>
      <c r="V29" s="161">
        <v>3000000</v>
      </c>
      <c r="W29" s="5" t="s">
        <v>683</v>
      </c>
    </row>
    <row r="30" spans="2:23" ht="13.5" customHeight="1" x14ac:dyDescent="0.25">
      <c r="B30" s="292"/>
      <c r="C30" s="55" t="s">
        <v>72</v>
      </c>
      <c r="D30" s="51" t="s">
        <v>248</v>
      </c>
      <c r="E30" s="71" t="s">
        <v>613</v>
      </c>
      <c r="F30" s="96">
        <f t="shared" si="1"/>
        <v>0</v>
      </c>
      <c r="G30" s="152"/>
      <c r="H30" s="152"/>
      <c r="I30" s="152"/>
      <c r="J30" s="152"/>
      <c r="K30" s="152"/>
      <c r="L30" s="152"/>
      <c r="M30" s="152"/>
      <c r="N30" s="152"/>
      <c r="O30" s="152"/>
      <c r="Q30" s="152"/>
      <c r="R30" s="152"/>
      <c r="S30" s="151"/>
      <c r="U30" s="134"/>
      <c r="V30" s="161"/>
    </row>
    <row r="31" spans="2:23" ht="13.5" customHeight="1" x14ac:dyDescent="0.25">
      <c r="B31" s="292"/>
      <c r="C31" s="55" t="s">
        <v>73</v>
      </c>
      <c r="D31" s="51" t="s">
        <v>249</v>
      </c>
      <c r="E31" s="71" t="s">
        <v>613</v>
      </c>
      <c r="F31" s="96">
        <f t="shared" si="1"/>
        <v>173000</v>
      </c>
      <c r="G31" s="152"/>
      <c r="H31" s="152"/>
      <c r="I31" s="152"/>
      <c r="J31" s="152"/>
      <c r="K31" s="152"/>
      <c r="L31" s="152"/>
      <c r="M31" s="152"/>
      <c r="N31" s="152"/>
      <c r="O31" s="152"/>
      <c r="P31" s="152">
        <v>43250</v>
      </c>
      <c r="Q31" s="152">
        <v>77850</v>
      </c>
      <c r="R31" s="152">
        <v>51900</v>
      </c>
      <c r="S31" s="151"/>
      <c r="U31" s="134"/>
      <c r="V31" s="167"/>
      <c r="W31" s="5" t="s">
        <v>687</v>
      </c>
    </row>
    <row r="32" spans="2:23" ht="13.5" customHeight="1" x14ac:dyDescent="0.25">
      <c r="B32" s="292"/>
      <c r="C32" s="55" t="s">
        <v>74</v>
      </c>
      <c r="D32" s="51" t="s">
        <v>250</v>
      </c>
      <c r="E32" s="71" t="s">
        <v>613</v>
      </c>
      <c r="F32" s="96">
        <f t="shared" si="1"/>
        <v>550000</v>
      </c>
      <c r="G32" s="152"/>
      <c r="H32" s="152"/>
      <c r="I32" s="152"/>
      <c r="J32" s="152"/>
      <c r="K32" s="152"/>
      <c r="L32" s="152"/>
      <c r="M32" s="152"/>
      <c r="N32" s="152"/>
      <c r="O32" s="152"/>
      <c r="P32" s="152">
        <v>137500</v>
      </c>
      <c r="Q32" s="152">
        <v>247500</v>
      </c>
      <c r="R32" s="152">
        <v>165000</v>
      </c>
      <c r="S32" s="151"/>
      <c r="U32" s="134"/>
      <c r="V32" s="166"/>
      <c r="W32" s="5" t="s">
        <v>688</v>
      </c>
    </row>
    <row r="33" spans="2:23" ht="13.5" customHeight="1" x14ac:dyDescent="0.25">
      <c r="B33" s="292"/>
      <c r="C33" s="55" t="s">
        <v>75</v>
      </c>
      <c r="D33" s="51" t="s">
        <v>251</v>
      </c>
      <c r="E33" s="71" t="s">
        <v>613</v>
      </c>
      <c r="F33" s="96">
        <f t="shared" si="1"/>
        <v>400000</v>
      </c>
      <c r="G33" s="152"/>
      <c r="H33" s="152"/>
      <c r="I33" s="152"/>
      <c r="J33" s="152"/>
      <c r="K33" s="152"/>
      <c r="L33" s="152"/>
      <c r="M33" s="152"/>
      <c r="N33" s="152"/>
      <c r="O33" s="152"/>
      <c r="P33" s="152">
        <v>100000</v>
      </c>
      <c r="Q33" s="152">
        <v>180000</v>
      </c>
      <c r="R33" s="152">
        <v>120000</v>
      </c>
      <c r="S33" s="151"/>
      <c r="U33" s="134"/>
      <c r="V33" s="161"/>
      <c r="W33" s="5" t="s">
        <v>675</v>
      </c>
    </row>
    <row r="34" spans="2:23" ht="13.5" customHeight="1" x14ac:dyDescent="0.25">
      <c r="B34" s="292"/>
      <c r="C34" s="55" t="s">
        <v>76</v>
      </c>
      <c r="D34" s="51" t="s">
        <v>252</v>
      </c>
      <c r="E34" s="71" t="s">
        <v>613</v>
      </c>
      <c r="F34" s="96">
        <f t="shared" si="1"/>
        <v>340000</v>
      </c>
      <c r="G34" s="152"/>
      <c r="H34" s="152"/>
      <c r="I34" s="152"/>
      <c r="J34" s="152"/>
      <c r="K34" s="152"/>
      <c r="L34" s="152"/>
      <c r="M34" s="152"/>
      <c r="N34" s="152"/>
      <c r="O34" s="152"/>
      <c r="P34" s="152">
        <v>85000</v>
      </c>
      <c r="Q34" s="152">
        <v>153000</v>
      </c>
      <c r="R34" s="152">
        <v>102000</v>
      </c>
      <c r="S34" s="151"/>
      <c r="U34" s="134"/>
      <c r="V34" s="161"/>
      <c r="W34" s="5" t="s">
        <v>676</v>
      </c>
    </row>
    <row r="35" spans="2:23" ht="13.5" customHeight="1" x14ac:dyDescent="0.25">
      <c r="B35" s="292"/>
      <c r="C35" s="55" t="s">
        <v>78</v>
      </c>
      <c r="D35" s="51" t="s">
        <v>77</v>
      </c>
      <c r="E35" s="71" t="s">
        <v>613</v>
      </c>
      <c r="F35" s="96">
        <f t="shared" si="1"/>
        <v>410000</v>
      </c>
      <c r="G35" s="152"/>
      <c r="H35" s="152"/>
      <c r="I35" s="152"/>
      <c r="J35" s="152"/>
      <c r="K35" s="152"/>
      <c r="L35" s="152"/>
      <c r="M35" s="152"/>
      <c r="N35" s="152"/>
      <c r="O35" s="152"/>
      <c r="P35" s="152">
        <v>102500</v>
      </c>
      <c r="Q35" s="152">
        <v>184500</v>
      </c>
      <c r="R35" s="152">
        <v>123000</v>
      </c>
      <c r="S35" s="151"/>
      <c r="U35" s="9"/>
      <c r="V35" s="161">
        <f>F35</f>
        <v>410000</v>
      </c>
      <c r="W35" s="5">
        <v>200000</v>
      </c>
    </row>
    <row r="36" spans="2:23" ht="4.5" customHeight="1" x14ac:dyDescent="0.25">
      <c r="S36" s="151"/>
      <c r="V36" s="161"/>
    </row>
    <row r="37" spans="2:23" ht="13.5" customHeight="1" x14ac:dyDescent="0.25">
      <c r="B37" s="291" t="s">
        <v>266</v>
      </c>
      <c r="C37" s="55" t="s">
        <v>254</v>
      </c>
      <c r="D37" s="51" t="s">
        <v>260</v>
      </c>
      <c r="E37" s="71" t="s">
        <v>613</v>
      </c>
      <c r="F37" s="96">
        <f t="shared" ref="F37:F42" si="2">+SUM(G37:S37)</f>
        <v>0</v>
      </c>
      <c r="G37" s="152"/>
      <c r="H37" s="152"/>
      <c r="I37" s="152"/>
      <c r="J37" s="152"/>
      <c r="K37" s="152"/>
      <c r="L37" s="152"/>
      <c r="M37" s="152"/>
      <c r="N37" s="152"/>
      <c r="O37" s="152"/>
      <c r="P37" s="152"/>
      <c r="Q37" s="152"/>
      <c r="R37" s="152"/>
      <c r="S37" s="151"/>
      <c r="U37" s="283" t="s">
        <v>673</v>
      </c>
      <c r="V37" s="161"/>
    </row>
    <row r="38" spans="2:23" ht="13.5" customHeight="1" x14ac:dyDescent="0.25">
      <c r="B38" s="292"/>
      <c r="C38" s="55" t="s">
        <v>255</v>
      </c>
      <c r="D38" s="51" t="s">
        <v>261</v>
      </c>
      <c r="E38" s="71" t="s">
        <v>613</v>
      </c>
      <c r="F38" s="96">
        <f t="shared" si="2"/>
        <v>0</v>
      </c>
      <c r="G38" s="152"/>
      <c r="H38" s="152"/>
      <c r="I38" s="152"/>
      <c r="J38" s="152"/>
      <c r="K38" s="152"/>
      <c r="L38" s="152"/>
      <c r="M38" s="152"/>
      <c r="N38" s="152"/>
      <c r="O38" s="152"/>
      <c r="P38" s="152"/>
      <c r="Q38" s="152"/>
      <c r="R38" s="152"/>
      <c r="S38" s="151"/>
      <c r="U38" s="283"/>
      <c r="V38" s="161"/>
    </row>
    <row r="39" spans="2:23" ht="13.5" customHeight="1" x14ac:dyDescent="0.25">
      <c r="B39" s="292"/>
      <c r="C39" s="55" t="s">
        <v>256</v>
      </c>
      <c r="D39" s="51" t="s">
        <v>262</v>
      </c>
      <c r="E39" s="71" t="s">
        <v>613</v>
      </c>
      <c r="F39" s="96">
        <f t="shared" si="2"/>
        <v>0</v>
      </c>
      <c r="G39" s="152"/>
      <c r="H39" s="152"/>
      <c r="I39" s="152"/>
      <c r="J39" s="152"/>
      <c r="K39" s="152"/>
      <c r="L39" s="152"/>
      <c r="M39" s="152"/>
      <c r="N39" s="152"/>
      <c r="O39" s="152"/>
      <c r="P39" s="152"/>
      <c r="Q39" s="152"/>
      <c r="R39" s="152"/>
      <c r="S39" s="151"/>
      <c r="U39" s="283"/>
      <c r="V39" s="161"/>
    </row>
    <row r="40" spans="2:23" ht="13.5" customHeight="1" x14ac:dyDescent="0.25">
      <c r="B40" s="292"/>
      <c r="C40" s="55" t="s">
        <v>257</v>
      </c>
      <c r="D40" s="51" t="s">
        <v>263</v>
      </c>
      <c r="E40" s="71" t="s">
        <v>613</v>
      </c>
      <c r="F40" s="96">
        <f t="shared" si="2"/>
        <v>1400000</v>
      </c>
      <c r="G40" s="152"/>
      <c r="H40" s="152"/>
      <c r="I40" s="152"/>
      <c r="J40" s="152"/>
      <c r="K40" s="152"/>
      <c r="L40" s="152"/>
      <c r="M40" s="152"/>
      <c r="N40" s="152"/>
      <c r="O40" s="152"/>
      <c r="P40" s="152">
        <v>350000</v>
      </c>
      <c r="Q40" s="152">
        <v>630000</v>
      </c>
      <c r="R40" s="152">
        <v>420000</v>
      </c>
      <c r="S40" s="151"/>
      <c r="U40" s="283"/>
      <c r="V40" s="161">
        <f>F40</f>
        <v>1400000</v>
      </c>
      <c r="W40" s="5" t="s">
        <v>677</v>
      </c>
    </row>
    <row r="41" spans="2:23" ht="13.5" customHeight="1" x14ac:dyDescent="0.25">
      <c r="B41" s="292"/>
      <c r="C41" s="55" t="s">
        <v>258</v>
      </c>
      <c r="D41" s="51" t="s">
        <v>264</v>
      </c>
      <c r="E41" s="71" t="s">
        <v>613</v>
      </c>
      <c r="F41" s="96">
        <f t="shared" si="2"/>
        <v>250000</v>
      </c>
      <c r="G41" s="157"/>
      <c r="H41" s="157"/>
      <c r="I41" s="157"/>
      <c r="J41" s="157"/>
      <c r="K41" s="157"/>
      <c r="L41" s="157"/>
      <c r="M41" s="157"/>
      <c r="N41" s="157"/>
      <c r="O41" s="157"/>
      <c r="P41" s="157">
        <v>62500</v>
      </c>
      <c r="Q41" s="157">
        <v>112500</v>
      </c>
      <c r="R41" s="157">
        <v>75000</v>
      </c>
      <c r="S41" s="151"/>
      <c r="U41" s="283"/>
      <c r="V41" s="161">
        <f>F41</f>
        <v>250000</v>
      </c>
      <c r="W41" s="5" t="s">
        <v>678</v>
      </c>
    </row>
    <row r="42" spans="2:23" ht="13.5" customHeight="1" x14ac:dyDescent="0.25">
      <c r="B42" s="292"/>
      <c r="C42" s="55" t="s">
        <v>259</v>
      </c>
      <c r="D42" s="51" t="s">
        <v>265</v>
      </c>
      <c r="E42" s="71" t="s">
        <v>613</v>
      </c>
      <c r="F42" s="96">
        <f t="shared" si="2"/>
        <v>33532500</v>
      </c>
      <c r="G42" s="157"/>
      <c r="H42" s="157"/>
      <c r="I42" s="157"/>
      <c r="J42" s="157"/>
      <c r="K42" s="157"/>
      <c r="L42" s="157"/>
      <c r="M42" s="157"/>
      <c r="N42" s="157"/>
      <c r="O42" s="157"/>
      <c r="P42" s="157">
        <v>8383125</v>
      </c>
      <c r="Q42" s="157">
        <v>15089625</v>
      </c>
      <c r="R42" s="157">
        <v>10059750</v>
      </c>
      <c r="S42" s="151"/>
      <c r="V42" s="161">
        <v>12000000</v>
      </c>
      <c r="W42" s="5" t="s">
        <v>689</v>
      </c>
    </row>
    <row r="43" spans="2:23" ht="4.5" customHeight="1" x14ac:dyDescent="0.25">
      <c r="S43" s="151"/>
    </row>
    <row r="44" spans="2:23" ht="13.5" customHeight="1" x14ac:dyDescent="0.25">
      <c r="B44" s="288" t="s">
        <v>21</v>
      </c>
      <c r="C44" s="55" t="s">
        <v>447</v>
      </c>
      <c r="D44" s="51" t="s">
        <v>71</v>
      </c>
      <c r="E44" s="71" t="s">
        <v>613</v>
      </c>
      <c r="F44" s="96">
        <f>+SUM(G44:S44)</f>
        <v>0</v>
      </c>
      <c r="G44" s="152"/>
      <c r="H44" s="152"/>
      <c r="I44" s="152"/>
      <c r="J44" s="152"/>
      <c r="K44" s="152"/>
      <c r="L44" s="152"/>
      <c r="M44" s="152"/>
      <c r="N44" s="152"/>
      <c r="O44" s="152"/>
      <c r="P44" s="152"/>
      <c r="Q44" s="152"/>
      <c r="R44" s="152"/>
      <c r="S44" s="151"/>
      <c r="U44" s="283" t="s">
        <v>673</v>
      </c>
    </row>
    <row r="45" spans="2:23" ht="13.5" customHeight="1" x14ac:dyDescent="0.25">
      <c r="B45" s="293"/>
      <c r="C45" s="55" t="s">
        <v>561</v>
      </c>
      <c r="D45" s="51" t="s">
        <v>602</v>
      </c>
      <c r="E45" s="71" t="s">
        <v>613</v>
      </c>
      <c r="F45" s="96">
        <f>+SUM(G45:S45)</f>
        <v>0</v>
      </c>
      <c r="G45" s="152"/>
      <c r="H45" s="152"/>
      <c r="I45" s="152"/>
      <c r="J45" s="152"/>
      <c r="K45" s="152"/>
      <c r="L45" s="152"/>
      <c r="M45" s="152"/>
      <c r="N45" s="152"/>
      <c r="O45" s="152"/>
      <c r="P45" s="152"/>
      <c r="Q45" s="152"/>
      <c r="R45" s="152"/>
      <c r="S45" s="151"/>
      <c r="U45" s="283"/>
    </row>
    <row r="46" spans="2:23" ht="13.5" customHeight="1" x14ac:dyDescent="0.25">
      <c r="B46" s="294"/>
      <c r="C46" s="55" t="s">
        <v>574</v>
      </c>
      <c r="D46" s="51" t="s">
        <v>446</v>
      </c>
      <c r="E46" s="71" t="s">
        <v>613</v>
      </c>
      <c r="F46" s="96">
        <f>+SUM(G46:S46)</f>
        <v>4636000</v>
      </c>
      <c r="G46" s="152"/>
      <c r="H46" s="152"/>
      <c r="I46" s="152"/>
      <c r="J46" s="152"/>
      <c r="K46" s="152"/>
      <c r="L46" s="152"/>
      <c r="M46" s="152"/>
      <c r="N46" s="152"/>
      <c r="O46" s="152"/>
      <c r="P46" s="152">
        <v>1159000</v>
      </c>
      <c r="Q46" s="152">
        <v>2086200</v>
      </c>
      <c r="R46" s="152">
        <v>1390800</v>
      </c>
      <c r="S46" s="151"/>
      <c r="U46" s="134"/>
      <c r="V46" s="162">
        <f>F46</f>
        <v>4636000</v>
      </c>
      <c r="W46" s="5" t="s">
        <v>679</v>
      </c>
    </row>
    <row r="47" spans="2:23" ht="4.5" customHeight="1" x14ac:dyDescent="0.25"/>
    <row r="48" spans="2:23" ht="13.5" customHeight="1" x14ac:dyDescent="0.25">
      <c r="B48" s="288" t="s">
        <v>45</v>
      </c>
      <c r="C48" s="59" t="s">
        <v>79</v>
      </c>
      <c r="D48" s="52" t="s">
        <v>80</v>
      </c>
      <c r="E48" s="74" t="s">
        <v>614</v>
      </c>
      <c r="F48" s="94">
        <f t="shared" ref="F48:F53" si="3">+SUM(G48:S48)</f>
        <v>65498086.399999999</v>
      </c>
      <c r="G48" s="89">
        <f t="shared" ref="G48:S48" si="4">+SUM(G8:G13,G15:G35,G44:G46,G37:G42)</f>
        <v>0</v>
      </c>
      <c r="H48" s="89">
        <f t="shared" si="4"/>
        <v>0</v>
      </c>
      <c r="I48" s="89">
        <f t="shared" si="4"/>
        <v>0</v>
      </c>
      <c r="J48" s="89">
        <f t="shared" si="4"/>
        <v>0</v>
      </c>
      <c r="K48" s="89">
        <f t="shared" si="4"/>
        <v>0</v>
      </c>
      <c r="L48" s="89">
        <f t="shared" si="4"/>
        <v>360000</v>
      </c>
      <c r="M48" s="89">
        <f t="shared" si="4"/>
        <v>382500</v>
      </c>
      <c r="N48" s="89">
        <f t="shared" si="4"/>
        <v>382500</v>
      </c>
      <c r="O48" s="89">
        <f t="shared" si="4"/>
        <v>500000</v>
      </c>
      <c r="P48" s="89">
        <f t="shared" si="4"/>
        <v>20467336.399999999</v>
      </c>
      <c r="Q48" s="89">
        <f t="shared" si="4"/>
        <v>25587250</v>
      </c>
      <c r="R48" s="89">
        <f t="shared" si="4"/>
        <v>17218500</v>
      </c>
      <c r="S48" s="89">
        <f t="shared" si="4"/>
        <v>600000</v>
      </c>
    </row>
    <row r="49" spans="2:23" ht="13.5" customHeight="1" x14ac:dyDescent="0.25">
      <c r="B49" s="289"/>
      <c r="C49" s="63" t="s">
        <v>81</v>
      </c>
      <c r="D49" s="51" t="s">
        <v>82</v>
      </c>
      <c r="E49" s="71" t="s">
        <v>613</v>
      </c>
      <c r="F49" s="96">
        <f t="shared" si="3"/>
        <v>911175</v>
      </c>
      <c r="G49" s="17"/>
      <c r="H49" s="17"/>
      <c r="I49" s="17"/>
      <c r="J49" s="17"/>
      <c r="K49" s="17"/>
      <c r="L49" s="157">
        <f t="shared" ref="L49:Q49" si="5">0.015*SUM(L12:L46)</f>
        <v>0</v>
      </c>
      <c r="M49" s="157">
        <f t="shared" si="5"/>
        <v>0</v>
      </c>
      <c r="N49" s="157">
        <f t="shared" si="5"/>
        <v>0</v>
      </c>
      <c r="O49" s="157">
        <f t="shared" si="5"/>
        <v>0</v>
      </c>
      <c r="P49" s="157">
        <f t="shared" si="5"/>
        <v>276738.75</v>
      </c>
      <c r="Q49" s="157">
        <f t="shared" si="5"/>
        <v>375483.75</v>
      </c>
      <c r="R49" s="157">
        <f>0.015*SUM(R12:R46)</f>
        <v>249952.5</v>
      </c>
      <c r="S49" s="157">
        <f>0.015*SUM(S12:S46)</f>
        <v>9000</v>
      </c>
      <c r="W49" s="5" t="s">
        <v>680</v>
      </c>
    </row>
    <row r="50" spans="2:23" ht="13.5" customHeight="1" x14ac:dyDescent="0.25">
      <c r="B50" s="289"/>
      <c r="C50" s="63" t="s">
        <v>83</v>
      </c>
      <c r="D50" s="51" t="s">
        <v>84</v>
      </c>
      <c r="E50" s="71" t="s">
        <v>613</v>
      </c>
      <c r="F50" s="96">
        <f t="shared" si="3"/>
        <v>0</v>
      </c>
      <c r="G50" s="17"/>
      <c r="H50" s="17"/>
      <c r="I50" s="17"/>
      <c r="J50" s="17"/>
      <c r="K50" s="17"/>
      <c r="L50" s="17"/>
      <c r="M50" s="17"/>
      <c r="N50" s="17"/>
      <c r="O50" s="17"/>
      <c r="P50" s="17"/>
      <c r="Q50" s="17"/>
      <c r="R50" s="17"/>
      <c r="S50" s="17"/>
    </row>
    <row r="51" spans="2:23" ht="13.5" customHeight="1" x14ac:dyDescent="0.25">
      <c r="B51" s="289"/>
      <c r="C51" s="55" t="s">
        <v>85</v>
      </c>
      <c r="D51" s="51" t="s">
        <v>86</v>
      </c>
      <c r="E51" s="71" t="s">
        <v>613</v>
      </c>
      <c r="F51" s="96">
        <f t="shared" si="3"/>
        <v>650000</v>
      </c>
      <c r="G51" s="17"/>
      <c r="H51" s="17"/>
      <c r="I51" s="17"/>
      <c r="J51" s="17"/>
      <c r="K51" s="17"/>
      <c r="L51" s="17"/>
      <c r="M51" s="17"/>
      <c r="N51" s="17"/>
      <c r="O51" s="17"/>
      <c r="P51" s="17"/>
      <c r="Q51" s="17"/>
      <c r="R51" s="17">
        <v>650000</v>
      </c>
      <c r="S51" s="17">
        <v>0</v>
      </c>
    </row>
    <row r="52" spans="2:23" ht="13.5" customHeight="1" x14ac:dyDescent="0.25">
      <c r="B52" s="289"/>
      <c r="C52" s="55" t="s">
        <v>87</v>
      </c>
      <c r="D52" s="51" t="s">
        <v>88</v>
      </c>
      <c r="E52" s="71" t="s">
        <v>613</v>
      </c>
      <c r="F52" s="96">
        <f t="shared" si="3"/>
        <v>7918056.5080000004</v>
      </c>
      <c r="G52" s="17"/>
      <c r="H52" s="17"/>
      <c r="I52" s="17"/>
      <c r="J52" s="17"/>
      <c r="K52" s="17"/>
      <c r="L52" s="17">
        <f>0.22*SUM(L8:L13)+0.1*SUM(L15:L46)+0.1*SUM(L49:L51)</f>
        <v>79200</v>
      </c>
      <c r="M52" s="17">
        <f t="shared" ref="M52:S52" si="6">0.22*SUM(M8:M13)+0.1*SUM(M15:M46)+0.1*SUM(M49:M51)</f>
        <v>84150</v>
      </c>
      <c r="N52" s="17">
        <f t="shared" si="6"/>
        <v>84150</v>
      </c>
      <c r="O52" s="17">
        <f t="shared" si="6"/>
        <v>110000</v>
      </c>
      <c r="P52" s="17">
        <f t="shared" si="6"/>
        <v>2868577.8830000004</v>
      </c>
      <c r="Q52" s="17">
        <f t="shared" si="6"/>
        <v>2675305.375</v>
      </c>
      <c r="R52" s="17">
        <f t="shared" si="6"/>
        <v>1883773.25</v>
      </c>
      <c r="S52" s="17">
        <f t="shared" si="6"/>
        <v>132900</v>
      </c>
      <c r="V52" s="163">
        <f>SUM(V20:V50)-V35</f>
        <v>25886000</v>
      </c>
    </row>
    <row r="53" spans="2:23" ht="13.5" customHeight="1" x14ac:dyDescent="0.25">
      <c r="B53" s="290"/>
      <c r="C53" s="64" t="s">
        <v>89</v>
      </c>
      <c r="D53" s="52" t="s">
        <v>203</v>
      </c>
      <c r="E53" s="74" t="s">
        <v>614</v>
      </c>
      <c r="F53" s="94">
        <f t="shared" si="3"/>
        <v>74977317.907999992</v>
      </c>
      <c r="G53" s="95">
        <f t="shared" ref="G53:S53" si="7">+SUM(G48:G52)</f>
        <v>0</v>
      </c>
      <c r="H53" s="95">
        <f t="shared" si="7"/>
        <v>0</v>
      </c>
      <c r="I53" s="95">
        <f t="shared" si="7"/>
        <v>0</v>
      </c>
      <c r="J53" s="95">
        <f t="shared" si="7"/>
        <v>0</v>
      </c>
      <c r="K53" s="95">
        <f t="shared" si="7"/>
        <v>0</v>
      </c>
      <c r="L53" s="95">
        <f t="shared" si="7"/>
        <v>439200</v>
      </c>
      <c r="M53" s="95">
        <f t="shared" si="7"/>
        <v>466650</v>
      </c>
      <c r="N53" s="95">
        <f t="shared" si="7"/>
        <v>466650</v>
      </c>
      <c r="O53" s="95">
        <f t="shared" si="7"/>
        <v>610000</v>
      </c>
      <c r="P53" s="95">
        <f t="shared" si="7"/>
        <v>23612653.033</v>
      </c>
      <c r="Q53" s="95">
        <f t="shared" si="7"/>
        <v>28638039.125</v>
      </c>
      <c r="R53" s="95">
        <f t="shared" si="7"/>
        <v>20002225.75</v>
      </c>
      <c r="S53" s="95">
        <f t="shared" si="7"/>
        <v>741900</v>
      </c>
    </row>
    <row r="54" spans="2:23" ht="4.5" customHeight="1" x14ac:dyDescent="0.25"/>
    <row r="55" spans="2:23" ht="13.5" customHeight="1" x14ac:dyDescent="0.25">
      <c r="B55" s="284" t="s">
        <v>458</v>
      </c>
      <c r="C55" s="285" t="s">
        <v>459</v>
      </c>
      <c r="D55" s="51" t="s">
        <v>456</v>
      </c>
      <c r="E55" s="51" t="s">
        <v>450</v>
      </c>
      <c r="F55" s="8">
        <v>11.700399999999998</v>
      </c>
    </row>
    <row r="56" spans="2:23" ht="13.5" customHeight="1" x14ac:dyDescent="0.25">
      <c r="B56" s="284"/>
      <c r="C56" s="286"/>
      <c r="D56" s="51" t="s">
        <v>457</v>
      </c>
      <c r="E56" s="51" t="s">
        <v>21</v>
      </c>
      <c r="F56" s="8">
        <v>122</v>
      </c>
    </row>
    <row r="57" spans="2:23" ht="13.5" customHeight="1" x14ac:dyDescent="0.25">
      <c r="B57" s="284"/>
      <c r="C57" s="287"/>
      <c r="D57" s="51" t="s">
        <v>454</v>
      </c>
      <c r="E57" s="51" t="s">
        <v>455</v>
      </c>
      <c r="F57" s="8">
        <v>10</v>
      </c>
    </row>
    <row r="58" spans="2:23" ht="13.5" customHeight="1" x14ac:dyDescent="0.25">
      <c r="B58" s="284"/>
      <c r="C58" s="59" t="s">
        <v>451</v>
      </c>
      <c r="D58" s="52" t="s">
        <v>448</v>
      </c>
      <c r="E58" s="74" t="s">
        <v>614</v>
      </c>
      <c r="F58" s="66">
        <f>+SUM(F15:F26,F28:F35,F37:F40,F42)/F55</f>
        <v>4171737.7183686034</v>
      </c>
    </row>
    <row r="59" spans="2:23" ht="13.5" customHeight="1" x14ac:dyDescent="0.25">
      <c r="B59" s="284"/>
      <c r="C59" s="59" t="s">
        <v>452</v>
      </c>
      <c r="D59" s="52" t="s">
        <v>449</v>
      </c>
      <c r="E59" s="74" t="s">
        <v>614</v>
      </c>
      <c r="F59" s="67">
        <f>+SUM(F45:F46)/F56</f>
        <v>38000</v>
      </c>
    </row>
    <row r="60" spans="2:23" ht="13.5" customHeight="1" x14ac:dyDescent="0.25">
      <c r="B60" s="284"/>
      <c r="C60" s="59" t="s">
        <v>453</v>
      </c>
      <c r="D60" s="52" t="s">
        <v>449</v>
      </c>
      <c r="E60" s="74" t="s">
        <v>614</v>
      </c>
      <c r="F60" s="67">
        <f>+SUM(F45:F46)/(F56*F57)</f>
        <v>3800</v>
      </c>
    </row>
    <row r="61" spans="2:23" ht="4.5" customHeight="1" x14ac:dyDescent="0.25"/>
    <row r="62" spans="2:23" ht="13.5" customHeight="1" x14ac:dyDescent="0.25">
      <c r="B62" s="128" t="s">
        <v>587</v>
      </c>
      <c r="C62" s="257" t="s">
        <v>592</v>
      </c>
      <c r="D62" s="257"/>
      <c r="E62" s="257"/>
    </row>
    <row r="63" spans="2:23" ht="13.5" customHeight="1" x14ac:dyDescent="0.25">
      <c r="B63" s="164" t="s">
        <v>599</v>
      </c>
      <c r="C63" s="5" t="s">
        <v>681</v>
      </c>
    </row>
    <row r="64" spans="2:23" ht="13.5" customHeight="1" x14ac:dyDescent="0.25">
      <c r="B64" s="164" t="s">
        <v>606</v>
      </c>
      <c r="C64" s="5" t="s">
        <v>682</v>
      </c>
    </row>
    <row r="66" spans="3:12" ht="13.5" customHeight="1" x14ac:dyDescent="0.25">
      <c r="C66" s="232" t="s">
        <v>759</v>
      </c>
      <c r="D66" s="232"/>
      <c r="E66" s="214"/>
      <c r="F66" s="214"/>
      <c r="G66" s="214"/>
      <c r="H66" s="214"/>
      <c r="I66" s="214"/>
      <c r="J66" s="214"/>
      <c r="K66" s="214"/>
      <c r="L66" s="214"/>
    </row>
    <row r="67" spans="3:12" ht="21.75" customHeight="1" x14ac:dyDescent="0.25">
      <c r="C67" s="214" t="s">
        <v>48</v>
      </c>
      <c r="D67" s="214" t="s">
        <v>49</v>
      </c>
      <c r="E67" s="295" t="s">
        <v>760</v>
      </c>
      <c r="F67" s="295"/>
      <c r="G67" s="295"/>
      <c r="H67" s="295"/>
      <c r="I67" s="295"/>
      <c r="J67" s="295"/>
      <c r="K67" s="295"/>
      <c r="L67" s="295"/>
    </row>
    <row r="68" spans="3:12" ht="133.5" customHeight="1" x14ac:dyDescent="0.25">
      <c r="C68" s="214" t="s">
        <v>50</v>
      </c>
      <c r="D68" s="214" t="s">
        <v>51</v>
      </c>
      <c r="E68" s="296" t="s">
        <v>769</v>
      </c>
      <c r="F68" s="296"/>
      <c r="G68" s="296"/>
      <c r="H68" s="296"/>
      <c r="I68" s="296"/>
      <c r="J68" s="296"/>
      <c r="K68" s="296"/>
      <c r="L68" s="296"/>
    </row>
    <row r="69" spans="3:12" ht="13.5" customHeight="1" x14ac:dyDescent="0.25">
      <c r="C69" s="214" t="s">
        <v>52</v>
      </c>
      <c r="D69" s="214" t="s">
        <v>53</v>
      </c>
      <c r="E69" s="295" t="s">
        <v>770</v>
      </c>
      <c r="F69" s="295"/>
      <c r="G69" s="295"/>
      <c r="H69" s="295"/>
      <c r="I69" s="295"/>
      <c r="J69" s="295"/>
      <c r="K69" s="295"/>
      <c r="L69" s="295"/>
    </row>
    <row r="70" spans="3:12" ht="69" customHeight="1" x14ac:dyDescent="0.25">
      <c r="C70" s="214" t="s">
        <v>56</v>
      </c>
      <c r="D70" s="214" t="s">
        <v>236</v>
      </c>
      <c r="E70" s="296" t="s">
        <v>771</v>
      </c>
      <c r="F70" s="296"/>
      <c r="G70" s="296"/>
      <c r="H70" s="296"/>
      <c r="I70" s="296"/>
      <c r="J70" s="296"/>
      <c r="K70" s="296"/>
      <c r="L70" s="296"/>
    </row>
    <row r="71" spans="3:12" ht="13.5" customHeight="1" x14ac:dyDescent="0.25">
      <c r="C71" s="214" t="s">
        <v>761</v>
      </c>
      <c r="D71" s="214" t="s">
        <v>575</v>
      </c>
      <c r="E71" s="295" t="s">
        <v>762</v>
      </c>
      <c r="F71" s="295"/>
      <c r="G71" s="295"/>
      <c r="H71" s="295"/>
      <c r="I71" s="295"/>
      <c r="J71" s="295"/>
      <c r="K71" s="295"/>
      <c r="L71" s="295"/>
    </row>
    <row r="72" spans="3:12" ht="13.5" customHeight="1" x14ac:dyDescent="0.25">
      <c r="C72" s="214"/>
      <c r="D72" s="214"/>
      <c r="E72" s="233"/>
      <c r="F72" s="233"/>
      <c r="G72" s="233"/>
      <c r="H72" s="233"/>
      <c r="I72" s="233"/>
      <c r="J72" s="233"/>
      <c r="K72" s="233"/>
      <c r="L72" s="233"/>
    </row>
    <row r="73" spans="3:12" ht="28.5" customHeight="1" x14ac:dyDescent="0.25">
      <c r="C73" s="297" t="s">
        <v>772</v>
      </c>
      <c r="D73" s="297"/>
      <c r="E73" s="297"/>
      <c r="F73" s="297"/>
      <c r="G73" s="297"/>
      <c r="H73" s="297"/>
      <c r="I73" s="297"/>
      <c r="J73" s="297"/>
      <c r="K73" s="297"/>
      <c r="L73" s="297"/>
    </row>
    <row r="74" spans="3:12" ht="13.5" customHeight="1" x14ac:dyDescent="0.25">
      <c r="C74" s="214"/>
      <c r="D74" s="214"/>
      <c r="E74" s="295"/>
      <c r="F74" s="295"/>
      <c r="G74" s="295"/>
      <c r="H74" s="295"/>
      <c r="I74" s="295"/>
      <c r="J74" s="295"/>
      <c r="K74" s="295"/>
      <c r="L74" s="295"/>
    </row>
    <row r="75" spans="3:12" ht="13.5" customHeight="1" x14ac:dyDescent="0.25">
      <c r="C75" s="214" t="s">
        <v>60</v>
      </c>
      <c r="D75" s="214" t="s">
        <v>239</v>
      </c>
      <c r="E75" s="295" t="s">
        <v>773</v>
      </c>
      <c r="F75" s="295"/>
      <c r="G75" s="295"/>
      <c r="H75" s="295"/>
      <c r="I75" s="295"/>
      <c r="J75" s="295"/>
      <c r="K75" s="295"/>
      <c r="L75" s="295"/>
    </row>
    <row r="76" spans="3:12" ht="13.5" customHeight="1" x14ac:dyDescent="0.25">
      <c r="C76" s="214" t="s">
        <v>61</v>
      </c>
      <c r="D76" s="214" t="s">
        <v>240</v>
      </c>
      <c r="E76" s="295" t="s">
        <v>774</v>
      </c>
      <c r="F76" s="295"/>
      <c r="G76" s="295"/>
      <c r="H76" s="295"/>
      <c r="I76" s="295"/>
      <c r="J76" s="295"/>
      <c r="K76" s="295"/>
      <c r="L76" s="295"/>
    </row>
    <row r="77" spans="3:12" ht="31.5" customHeight="1" x14ac:dyDescent="0.25">
      <c r="C77" s="214" t="s">
        <v>66</v>
      </c>
      <c r="D77" s="214" t="s">
        <v>245</v>
      </c>
      <c r="E77" s="296" t="s">
        <v>775</v>
      </c>
      <c r="F77" s="296"/>
      <c r="G77" s="296"/>
      <c r="H77" s="296"/>
      <c r="I77" s="296"/>
      <c r="J77" s="296"/>
      <c r="K77" s="296"/>
      <c r="L77" s="296"/>
    </row>
    <row r="78" spans="3:12" ht="13.5" customHeight="1" x14ac:dyDescent="0.25">
      <c r="C78" s="214" t="s">
        <v>68</v>
      </c>
      <c r="D78" s="214" t="s">
        <v>247</v>
      </c>
      <c r="E78" s="295" t="s">
        <v>763</v>
      </c>
      <c r="F78" s="295"/>
      <c r="G78" s="295"/>
      <c r="H78" s="295"/>
      <c r="I78" s="295"/>
      <c r="J78" s="295"/>
      <c r="K78" s="295"/>
      <c r="L78" s="295"/>
    </row>
    <row r="79" spans="3:12" ht="13.5" customHeight="1" x14ac:dyDescent="0.25">
      <c r="C79" s="214" t="s">
        <v>69</v>
      </c>
      <c r="D79" s="214" t="s">
        <v>559</v>
      </c>
      <c r="E79" s="295" t="s">
        <v>764</v>
      </c>
      <c r="F79" s="295"/>
      <c r="G79" s="295"/>
      <c r="H79" s="295"/>
      <c r="I79" s="295"/>
      <c r="J79" s="295"/>
      <c r="K79" s="295"/>
      <c r="L79" s="295"/>
    </row>
    <row r="80" spans="3:12" ht="16.5" x14ac:dyDescent="0.25">
      <c r="C80" s="214" t="s">
        <v>70</v>
      </c>
      <c r="D80" s="214" t="s">
        <v>560</v>
      </c>
      <c r="E80" s="295" t="s">
        <v>776</v>
      </c>
      <c r="F80" s="295"/>
      <c r="G80" s="295"/>
      <c r="H80" s="295"/>
      <c r="I80" s="295"/>
      <c r="J80" s="295"/>
      <c r="K80" s="295"/>
      <c r="L80" s="295"/>
    </row>
    <row r="81" spans="3:12" ht="13.5" customHeight="1" x14ac:dyDescent="0.25">
      <c r="C81" s="214" t="s">
        <v>75</v>
      </c>
      <c r="D81" s="214" t="s">
        <v>251</v>
      </c>
      <c r="E81" s="295" t="s">
        <v>765</v>
      </c>
      <c r="F81" s="295"/>
      <c r="G81" s="295"/>
      <c r="H81" s="295"/>
      <c r="I81" s="295"/>
      <c r="J81" s="295"/>
      <c r="K81" s="295"/>
      <c r="L81" s="295"/>
    </row>
    <row r="82" spans="3:12" ht="13.5" customHeight="1" x14ac:dyDescent="0.25">
      <c r="C82" s="214" t="s">
        <v>76</v>
      </c>
      <c r="D82" s="214" t="s">
        <v>252</v>
      </c>
      <c r="E82" s="295" t="s">
        <v>766</v>
      </c>
      <c r="F82" s="295"/>
      <c r="G82" s="295"/>
      <c r="H82" s="295"/>
      <c r="I82" s="295"/>
      <c r="J82" s="295"/>
      <c r="K82" s="295"/>
      <c r="L82" s="295"/>
    </row>
    <row r="83" spans="3:12" ht="13.5" customHeight="1" x14ac:dyDescent="0.25">
      <c r="C83" s="214" t="s">
        <v>259</v>
      </c>
      <c r="D83" s="214" t="s">
        <v>265</v>
      </c>
      <c r="E83" s="295" t="s">
        <v>767</v>
      </c>
      <c r="F83" s="295"/>
      <c r="G83" s="295"/>
      <c r="H83" s="295"/>
      <c r="I83" s="295"/>
      <c r="J83" s="295"/>
      <c r="K83" s="295"/>
      <c r="L83" s="295"/>
    </row>
    <row r="84" spans="3:12" ht="13.5" customHeight="1" x14ac:dyDescent="0.25">
      <c r="C84" s="214" t="s">
        <v>574</v>
      </c>
      <c r="D84" s="214" t="s">
        <v>446</v>
      </c>
      <c r="E84" s="295" t="s">
        <v>777</v>
      </c>
      <c r="F84" s="295"/>
      <c r="G84" s="295"/>
      <c r="H84" s="295"/>
      <c r="I84" s="295"/>
      <c r="J84" s="295"/>
      <c r="K84" s="295"/>
      <c r="L84" s="295"/>
    </row>
    <row r="85" spans="3:12" ht="13.5" customHeight="1" x14ac:dyDescent="0.25">
      <c r="C85" s="214"/>
      <c r="D85" s="214"/>
      <c r="E85" s="295"/>
      <c r="F85" s="295"/>
      <c r="G85" s="295"/>
      <c r="H85" s="295"/>
      <c r="I85" s="295"/>
      <c r="J85" s="295"/>
      <c r="K85" s="295"/>
      <c r="L85" s="295"/>
    </row>
    <row r="86" spans="3:12" ht="13.5" customHeight="1" x14ac:dyDescent="0.25">
      <c r="C86" s="214" t="s">
        <v>81</v>
      </c>
      <c r="D86" s="214" t="s">
        <v>82</v>
      </c>
      <c r="E86" s="295" t="s">
        <v>768</v>
      </c>
      <c r="F86" s="295"/>
      <c r="G86" s="295"/>
      <c r="H86" s="295"/>
      <c r="I86" s="295"/>
      <c r="J86" s="295"/>
      <c r="K86" s="295"/>
      <c r="L86" s="295"/>
    </row>
  </sheetData>
  <mergeCells count="30">
    <mergeCell ref="E83:L83"/>
    <mergeCell ref="E84:L84"/>
    <mergeCell ref="E85:L85"/>
    <mergeCell ref="E86:L86"/>
    <mergeCell ref="E78:L78"/>
    <mergeCell ref="E79:L79"/>
    <mergeCell ref="E80:L80"/>
    <mergeCell ref="E81:L81"/>
    <mergeCell ref="E82:L82"/>
    <mergeCell ref="C73:L73"/>
    <mergeCell ref="E74:L74"/>
    <mergeCell ref="E75:L75"/>
    <mergeCell ref="E76:L76"/>
    <mergeCell ref="E77:L77"/>
    <mergeCell ref="E67:L67"/>
    <mergeCell ref="E68:L68"/>
    <mergeCell ref="E69:L69"/>
    <mergeCell ref="E70:L70"/>
    <mergeCell ref="E71:L71"/>
    <mergeCell ref="B4:S4"/>
    <mergeCell ref="B8:B13"/>
    <mergeCell ref="B15:B35"/>
    <mergeCell ref="B37:B42"/>
    <mergeCell ref="B44:B46"/>
    <mergeCell ref="U37:U41"/>
    <mergeCell ref="U44:U45"/>
    <mergeCell ref="C62:E62"/>
    <mergeCell ref="B55:B60"/>
    <mergeCell ref="C55:C57"/>
    <mergeCell ref="B48:B53"/>
  </mergeCells>
  <phoneticPr fontId="0" type="noConversion"/>
  <pageMargins left="0.7" right="0.7" top="0.75" bottom="0.75" header="0.3" footer="0.3"/>
  <pageSetup paperSize="8" scale="9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2"/>
  <sheetViews>
    <sheetView zoomScaleNormal="100" workbookViewId="0">
      <selection activeCell="J8" sqref="J8:K34"/>
    </sheetView>
  </sheetViews>
  <sheetFormatPr defaultColWidth="9.140625" defaultRowHeight="16.5" customHeight="1" x14ac:dyDescent="0.25"/>
  <cols>
    <col min="1" max="1" width="0.85546875" style="5" customWidth="1"/>
    <col min="2" max="3" width="8.5703125" style="5" customWidth="1"/>
    <col min="4" max="4" width="56.5703125" style="5" bestFit="1" customWidth="1"/>
    <col min="5" max="7" width="12.85546875" style="5" customWidth="1"/>
    <col min="8" max="8" width="0.85546875" style="13" customWidth="1"/>
    <col min="9" max="9" width="9.140625" style="13"/>
    <col min="10" max="10" width="30.42578125" style="13" bestFit="1" customWidth="1"/>
    <col min="11" max="11" width="64.28515625" style="13" customWidth="1"/>
    <col min="12" max="14" width="9.140625" style="13"/>
    <col min="15" max="16384" width="9.140625" style="5"/>
  </cols>
  <sheetData>
    <row r="1" spans="2:14" ht="4.5" customHeight="1" x14ac:dyDescent="0.25">
      <c r="B1" s="4"/>
      <c r="H1" s="5"/>
      <c r="I1" s="5"/>
      <c r="J1" s="5"/>
      <c r="K1" s="5"/>
      <c r="L1" s="5"/>
      <c r="M1" s="5"/>
      <c r="N1" s="5"/>
    </row>
    <row r="2" spans="2:14" s="123" customFormat="1" ht="23.25" customHeight="1" x14ac:dyDescent="0.25">
      <c r="B2" s="123" t="str">
        <f>+'3.1 Mobilità e Rete TPL'!B2</f>
        <v>IMPIANTO DI TRASPORTO COLLETTIVO TRA LA CITTA' DI TRENTO ED IL MONTE BONDONE</v>
      </c>
      <c r="C2" s="126"/>
      <c r="D2" s="126"/>
      <c r="E2" s="126"/>
      <c r="F2" s="126"/>
      <c r="G2" s="125" t="str">
        <f>+'3.1 Mobilità e Rete TPL'!L2</f>
        <v>sottoprogramma 3</v>
      </c>
      <c r="H2" s="126"/>
      <c r="I2" s="126"/>
      <c r="J2" s="126"/>
    </row>
    <row r="3" spans="2:14" ht="4.5" customHeight="1" x14ac:dyDescent="0.25">
      <c r="H3" s="5"/>
      <c r="I3" s="5"/>
      <c r="J3" s="5"/>
      <c r="K3" s="5"/>
      <c r="L3" s="5"/>
      <c r="M3" s="5"/>
      <c r="N3" s="5"/>
    </row>
    <row r="4" spans="2:14" ht="13.5" customHeight="1" x14ac:dyDescent="0.25">
      <c r="B4" s="270" t="s">
        <v>513</v>
      </c>
      <c r="C4" s="271"/>
      <c r="D4" s="271"/>
      <c r="E4" s="271"/>
      <c r="F4" s="271"/>
      <c r="G4" s="272"/>
      <c r="H4" s="5"/>
      <c r="I4" s="5"/>
      <c r="J4" s="5"/>
      <c r="K4" s="5"/>
      <c r="L4" s="5"/>
      <c r="M4" s="5"/>
      <c r="N4" s="5"/>
    </row>
    <row r="5" spans="2:14" ht="4.5" customHeight="1" x14ac:dyDescent="0.25">
      <c r="H5" s="5"/>
      <c r="I5" s="5"/>
      <c r="J5" s="5"/>
      <c r="K5" s="5"/>
      <c r="L5" s="5"/>
      <c r="M5" s="5"/>
      <c r="N5" s="5"/>
    </row>
    <row r="6" spans="2:14" ht="27" customHeight="1" x14ac:dyDescent="0.25">
      <c r="B6" s="53" t="s">
        <v>42</v>
      </c>
      <c r="C6" s="53" t="s">
        <v>43</v>
      </c>
      <c r="D6" s="53" t="s">
        <v>44</v>
      </c>
      <c r="E6" s="53" t="s">
        <v>204</v>
      </c>
      <c r="F6" s="53" t="s">
        <v>205</v>
      </c>
      <c r="G6" s="53" t="s">
        <v>90</v>
      </c>
      <c r="H6" s="5"/>
      <c r="I6" s="5"/>
      <c r="J6" s="5"/>
      <c r="K6" s="5"/>
      <c r="L6" s="5"/>
      <c r="M6" s="5"/>
      <c r="N6" s="5"/>
    </row>
    <row r="7" spans="2:14" ht="4.5" customHeight="1" x14ac:dyDescent="0.25">
      <c r="H7" s="5"/>
      <c r="I7" s="5"/>
      <c r="J7" s="5"/>
      <c r="K7" s="5"/>
      <c r="L7" s="5"/>
      <c r="M7" s="5"/>
      <c r="N7" s="5"/>
    </row>
    <row r="8" spans="2:14" ht="13.5" customHeight="1" x14ac:dyDescent="0.25">
      <c r="B8" s="291" t="s">
        <v>253</v>
      </c>
      <c r="C8" s="55" t="s">
        <v>91</v>
      </c>
      <c r="D8" s="71" t="str">
        <f>+'3.4 Costi d''Investimento'!D15</f>
        <v>Risoluzione interferenze pubblici servizi</v>
      </c>
      <c r="E8" s="88">
        <f>+'3.4 Costi d''Investimento'!F15/SUM('3.4 Costi d''Investimento'!$F$15:$F$35,'3.4 Costi d''Investimento'!$F$37:$F$42,'3.4 Costi d''Investimento'!$F$45:$F$46)</f>
        <v>0</v>
      </c>
      <c r="F8" s="32">
        <v>50</v>
      </c>
      <c r="G8" s="170">
        <f t="shared" ref="G8:G28" si="0">+E8*F8</f>
        <v>0</v>
      </c>
      <c r="H8" s="5"/>
      <c r="I8" s="5"/>
      <c r="J8" s="234"/>
      <c r="K8" s="235"/>
      <c r="L8" s="5"/>
      <c r="M8" s="5"/>
      <c r="N8" s="5"/>
    </row>
    <row r="9" spans="2:14" ht="13.5" customHeight="1" x14ac:dyDescent="0.25">
      <c r="B9" s="293"/>
      <c r="C9" s="55" t="s">
        <v>92</v>
      </c>
      <c r="D9" s="71" t="str">
        <f>+'3.4 Costi d''Investimento'!D16</f>
        <v>Gallerie di linea e stazioni</v>
      </c>
      <c r="E9" s="88">
        <f>+'3.4 Costi d''Investimento'!F16/SUM('3.4 Costi d''Investimento'!$F$15:$F$35,'3.4 Costi d''Investimento'!$F$37:$F$42,'3.4 Costi d''Investimento'!$F$45:$F$46)</f>
        <v>0</v>
      </c>
      <c r="F9" s="32">
        <v>75</v>
      </c>
      <c r="G9" s="170">
        <f>+E9*F9</f>
        <v>0</v>
      </c>
      <c r="H9" s="5"/>
      <c r="I9" s="5"/>
      <c r="J9" s="234"/>
      <c r="K9" s="235"/>
      <c r="L9" s="5"/>
      <c r="M9" s="5"/>
      <c r="N9" s="5"/>
    </row>
    <row r="10" spans="2:14" ht="13.5" customHeight="1" x14ac:dyDescent="0.25">
      <c r="B10" s="293"/>
      <c r="C10" s="55" t="s">
        <v>93</v>
      </c>
      <c r="D10" s="71" t="str">
        <f>+'3.4 Costi d''Investimento'!D17</f>
        <v>Pozzi e manufatti di inter-tratta</v>
      </c>
      <c r="E10" s="88">
        <f>+'3.4 Costi d''Investimento'!F17/SUM('3.4 Costi d''Investimento'!$F$15:$F$35,'3.4 Costi d''Investimento'!$F$37:$F$42,'3.4 Costi d''Investimento'!$F$45:$F$46)</f>
        <v>0</v>
      </c>
      <c r="F10" s="57">
        <v>75</v>
      </c>
      <c r="G10" s="170">
        <f t="shared" si="0"/>
        <v>0</v>
      </c>
      <c r="H10" s="5"/>
      <c r="I10" s="5"/>
      <c r="J10" s="234"/>
      <c r="K10" s="235"/>
      <c r="L10" s="5"/>
      <c r="M10" s="5"/>
      <c r="N10" s="5"/>
    </row>
    <row r="11" spans="2:14" ht="13.5" customHeight="1" x14ac:dyDescent="0.25">
      <c r="B11" s="293"/>
      <c r="C11" s="55" t="s">
        <v>94</v>
      </c>
      <c r="D11" s="71" t="str">
        <f>+'3.4 Costi d''Investimento'!D18</f>
        <v>Ponti</v>
      </c>
      <c r="E11" s="88">
        <f>+'3.4 Costi d''Investimento'!F18/SUM('3.4 Costi d''Investimento'!$F$15:$F$35,'3.4 Costi d''Investimento'!$F$37:$F$42,'3.4 Costi d''Investimento'!$F$45:$F$46)</f>
        <v>0</v>
      </c>
      <c r="F11" s="57">
        <v>75</v>
      </c>
      <c r="G11" s="170">
        <f t="shared" si="0"/>
        <v>0</v>
      </c>
      <c r="H11" s="5"/>
      <c r="I11" s="5"/>
      <c r="J11" s="234"/>
      <c r="K11" s="235"/>
      <c r="L11" s="5"/>
      <c r="M11" s="5"/>
      <c r="N11" s="5"/>
    </row>
    <row r="12" spans="2:14" ht="13.5" customHeight="1" x14ac:dyDescent="0.25">
      <c r="B12" s="293"/>
      <c r="C12" s="55" t="s">
        <v>95</v>
      </c>
      <c r="D12" s="71" t="str">
        <f>+'3.4 Costi d''Investimento'!D19</f>
        <v>Edifici diversi da stazioni e deposito (opere al rustico e finiture)</v>
      </c>
      <c r="E12" s="88">
        <f>+'3.4 Costi d''Investimento'!F19/SUM('3.4 Costi d''Investimento'!$F$15:$F$35,'3.4 Costi d''Investimento'!$F$37:$F$42,'3.4 Costi d''Investimento'!$F$45:$F$46)</f>
        <v>5.5959709009513151E-2</v>
      </c>
      <c r="F12" s="57">
        <v>50</v>
      </c>
      <c r="G12" s="170">
        <f t="shared" si="0"/>
        <v>2.7979854504756574</v>
      </c>
      <c r="H12" s="5"/>
      <c r="I12" s="5"/>
      <c r="J12" s="234"/>
      <c r="K12" s="235"/>
      <c r="L12" s="5"/>
      <c r="M12" s="5"/>
      <c r="N12" s="5"/>
    </row>
    <row r="13" spans="2:14" ht="13.5" customHeight="1" x14ac:dyDescent="0.25">
      <c r="B13" s="293"/>
      <c r="C13" s="55" t="s">
        <v>96</v>
      </c>
      <c r="D13" s="71" t="str">
        <f>+'3.4 Costi d''Investimento'!D20</f>
        <v>Piattaforma sede ferroviaria o stradale</v>
      </c>
      <c r="E13" s="88">
        <f>+'3.4 Costi d''Investimento'!F20/SUM('3.4 Costi d''Investimento'!$F$15:$F$35,'3.4 Costi d''Investimento'!$F$37:$F$42,'3.4 Costi d''Investimento'!$F$45:$F$46)</f>
        <v>1.7248226438254778E-2</v>
      </c>
      <c r="F13" s="58">
        <v>35</v>
      </c>
      <c r="G13" s="170">
        <f t="shared" si="0"/>
        <v>0.60368792533891724</v>
      </c>
      <c r="H13" s="5"/>
      <c r="I13" s="5"/>
      <c r="J13" s="234"/>
      <c r="K13" s="235"/>
      <c r="L13" s="5"/>
      <c r="M13" s="5"/>
      <c r="N13" s="5"/>
    </row>
    <row r="14" spans="2:14" ht="13.5" customHeight="1" x14ac:dyDescent="0.25">
      <c r="B14" s="293"/>
      <c r="C14" s="55" t="s">
        <v>97</v>
      </c>
      <c r="D14" s="71" t="str">
        <f>+'3.4 Costi d''Investimento'!D21</f>
        <v>Sovrastruttura ferroviaira/tramviaria</v>
      </c>
      <c r="E14" s="88">
        <f>+'3.4 Costi d''Investimento'!F21/SUM('3.4 Costi d''Investimento'!$F$15:$F$35,'3.4 Costi d''Investimento'!$F$37:$F$42,'3.4 Costi d''Investimento'!$F$45:$F$46)</f>
        <v>0</v>
      </c>
      <c r="F14" s="58">
        <v>25</v>
      </c>
      <c r="G14" s="170">
        <f t="shared" si="0"/>
        <v>0</v>
      </c>
      <c r="H14" s="5"/>
      <c r="I14" s="5"/>
      <c r="J14" s="234"/>
      <c r="K14" s="235"/>
      <c r="L14" s="5"/>
      <c r="M14" s="5"/>
      <c r="N14" s="5"/>
    </row>
    <row r="15" spans="2:14" ht="13.5" customHeight="1" x14ac:dyDescent="0.25">
      <c r="B15" s="293"/>
      <c r="C15" s="55" t="s">
        <v>98</v>
      </c>
      <c r="D15" s="71" t="str">
        <f>+'3.4 Costi d''Investimento'!D22</f>
        <v>Sovrastruttura stradale dedicata</v>
      </c>
      <c r="E15" s="88">
        <f>+'3.4 Costi d''Investimento'!F22/SUM('3.4 Costi d''Investimento'!$F$15:$F$35,'3.4 Costi d''Investimento'!$F$37:$F$42,'3.4 Costi d''Investimento'!$F$45:$F$46)</f>
        <v>0</v>
      </c>
      <c r="F15" s="32">
        <v>20</v>
      </c>
      <c r="G15" s="170">
        <f t="shared" si="0"/>
        <v>0</v>
      </c>
      <c r="H15" s="5"/>
      <c r="I15" s="5"/>
      <c r="J15" s="234"/>
      <c r="K15" s="235"/>
      <c r="L15" s="5"/>
      <c r="M15" s="5"/>
      <c r="N15" s="5"/>
    </row>
    <row r="16" spans="2:14" ht="13.5" customHeight="1" x14ac:dyDescent="0.25">
      <c r="B16" s="293"/>
      <c r="C16" s="55" t="s">
        <v>99</v>
      </c>
      <c r="D16" s="71" t="str">
        <f>+'3.4 Costi d''Investimento'!D23</f>
        <v>Stazioni/fermate tram o filobus</v>
      </c>
      <c r="E16" s="88">
        <f>+'3.4 Costi d''Investimento'!F23/SUM('3.4 Costi d''Investimento'!$F$15:$F$35,'3.4 Costi d''Investimento'!$F$37:$F$42,'3.4 Costi d''Investimento'!$F$45:$F$46)</f>
        <v>0</v>
      </c>
      <c r="F16" s="32">
        <v>20</v>
      </c>
      <c r="G16" s="170">
        <f t="shared" si="0"/>
        <v>0</v>
      </c>
      <c r="J16" s="236"/>
      <c r="K16" s="237"/>
    </row>
    <row r="17" spans="2:14" ht="13.5" customHeight="1" x14ac:dyDescent="0.25">
      <c r="B17" s="293"/>
      <c r="C17" s="55" t="s">
        <v>100</v>
      </c>
      <c r="D17" s="71" t="str">
        <f>+'3.4 Costi d''Investimento'!D24</f>
        <v>Stazioni metro aperte</v>
      </c>
      <c r="E17" s="88">
        <f>+'3.4 Costi d''Investimento'!F24/SUM('3.4 Costi d''Investimento'!$F$15:$F$35,'3.4 Costi d''Investimento'!$F$37:$F$42,'3.4 Costi d''Investimento'!$F$45:$F$46)</f>
        <v>0</v>
      </c>
      <c r="F17" s="32">
        <v>50</v>
      </c>
      <c r="G17" s="170">
        <f t="shared" si="0"/>
        <v>0</v>
      </c>
      <c r="J17" s="236"/>
      <c r="K17" s="237"/>
    </row>
    <row r="18" spans="2:14" ht="13.5" customHeight="1" x14ac:dyDescent="0.25">
      <c r="B18" s="293"/>
      <c r="C18" s="55" t="s">
        <v>101</v>
      </c>
      <c r="D18" s="71" t="str">
        <f>+'3.4 Costi d''Investimento'!D25</f>
        <v>Stazioni metro chiuse sotterranee superficiali</v>
      </c>
      <c r="E18" s="88">
        <f>+'3.4 Costi d''Investimento'!F25/SUM('3.4 Costi d''Investimento'!$F$15:$F$35,'3.4 Costi d''Investimento'!$F$37:$F$42,'3.4 Costi d''Investimento'!$F$45:$F$46)</f>
        <v>6.0472588768344854E-2</v>
      </c>
      <c r="F18" s="32">
        <v>50</v>
      </c>
      <c r="G18" s="170">
        <f t="shared" si="0"/>
        <v>3.0236294384172426</v>
      </c>
      <c r="J18" s="236"/>
      <c r="K18" s="237"/>
    </row>
    <row r="19" spans="2:14" ht="13.5" customHeight="1" x14ac:dyDescent="0.25">
      <c r="B19" s="293"/>
      <c r="C19" s="55" t="s">
        <v>102</v>
      </c>
      <c r="D19" s="71" t="str">
        <f>+'3.4 Costi d''Investimento'!D26</f>
        <v>Stazioni metro chiuse sotterranee profonde</v>
      </c>
      <c r="E19" s="88">
        <f>+'3.4 Costi d''Investimento'!F26/SUM('3.4 Costi d''Investimento'!$F$15:$F$35,'3.4 Costi d''Investimento'!$F$37:$F$42,'3.4 Costi d''Investimento'!$F$45:$F$46)</f>
        <v>0</v>
      </c>
      <c r="F19" s="32">
        <v>50</v>
      </c>
      <c r="G19" s="170">
        <f t="shared" si="0"/>
        <v>0</v>
      </c>
      <c r="J19" s="236"/>
      <c r="K19" s="237"/>
    </row>
    <row r="20" spans="2:14" ht="13.5" customHeight="1" x14ac:dyDescent="0.25">
      <c r="B20" s="293"/>
      <c r="C20" s="55" t="s">
        <v>103</v>
      </c>
      <c r="D20" s="71" t="str">
        <f>+'3.4 Costi d''Investimento'!D27</f>
        <v>Deposito (opere al rustico e finiture, escluso impianti)</v>
      </c>
      <c r="E20" s="88">
        <f>+'3.4 Costi d''Investimento'!F27/SUM('3.4 Costi d''Investimento'!$F$15:$F$35,'3.4 Costi d''Investimento'!$F$37:$F$42,'3.4 Costi d''Investimento'!$F$45:$F$46)</f>
        <v>3.0687582360055598E-2</v>
      </c>
      <c r="F20" s="32">
        <v>50</v>
      </c>
      <c r="G20" s="170">
        <f t="shared" si="0"/>
        <v>1.5343791180027799</v>
      </c>
      <c r="J20" s="236"/>
      <c r="K20" s="237"/>
    </row>
    <row r="21" spans="2:14" ht="13.5" customHeight="1" x14ac:dyDescent="0.25">
      <c r="B21" s="293"/>
      <c r="C21" s="55" t="s">
        <v>104</v>
      </c>
      <c r="D21" s="71" t="str">
        <f>+'3.4 Costi d''Investimento'!D28</f>
        <v xml:space="preserve">Sistemazioni urbanistiche </v>
      </c>
      <c r="E21" s="88">
        <f>+'3.4 Costi d''Investimento'!F28/SUM('3.4 Costi d''Investimento'!$F$15:$F$35,'3.4 Costi d''Investimento'!$F$37:$F$42,'3.4 Costi d''Investimento'!$F$45:$F$46)</f>
        <v>2.8882430456522917E-2</v>
      </c>
      <c r="F21" s="32">
        <v>10</v>
      </c>
      <c r="G21" s="170">
        <f t="shared" si="0"/>
        <v>0.28882430456522917</v>
      </c>
      <c r="J21" s="236"/>
      <c r="K21" s="237"/>
    </row>
    <row r="22" spans="2:14" ht="13.5" customHeight="1" x14ac:dyDescent="0.25">
      <c r="B22" s="293"/>
      <c r="C22" s="55" t="s">
        <v>105</v>
      </c>
      <c r="D22" s="71" t="str">
        <f>+'3.4 Costi d''Investimento'!D29</f>
        <v>Opere complementari</v>
      </c>
      <c r="E22" s="88">
        <f>+'3.4 Costi d''Investimento'!F29/SUM('3.4 Costi d''Investimento'!$F$15:$F$35,'3.4 Costi d''Investimento'!$F$37:$F$42,'3.4 Costi d''Investimento'!$F$45:$F$46)</f>
        <v>5.4154557105980466E-2</v>
      </c>
      <c r="F22" s="32">
        <v>50</v>
      </c>
      <c r="G22" s="170">
        <f t="shared" si="0"/>
        <v>2.7077278552990234</v>
      </c>
      <c r="J22" s="236"/>
      <c r="K22" s="237"/>
    </row>
    <row r="23" spans="2:14" ht="13.5" customHeight="1" x14ac:dyDescent="0.25">
      <c r="B23" s="293"/>
      <c r="C23" s="55" t="s">
        <v>106</v>
      </c>
      <c r="D23" s="71" t="str">
        <f>+'3.4 Costi d''Investimento'!D30</f>
        <v>Impianti di ventilazione di linea e di stazione</v>
      </c>
      <c r="E23" s="88">
        <f>+'3.4 Costi d''Investimento'!F30/SUM('3.4 Costi d''Investimento'!$F$15:$F$35,'3.4 Costi d''Investimento'!$F$37:$F$42,'3.4 Costi d''Investimento'!$F$45:$F$46)</f>
        <v>0</v>
      </c>
      <c r="F23" s="32">
        <v>15</v>
      </c>
      <c r="G23" s="170">
        <f t="shared" si="0"/>
        <v>0</v>
      </c>
      <c r="J23" s="236"/>
      <c r="K23" s="237"/>
    </row>
    <row r="24" spans="2:14" ht="13.5" customHeight="1" x14ac:dyDescent="0.25">
      <c r="B24" s="293"/>
      <c r="C24" s="55" t="s">
        <v>107</v>
      </c>
      <c r="D24" s="71" t="str">
        <f>+'3.4 Costi d''Investimento'!D31</f>
        <v>Impianti di prevenzione e protezione incendi di linea e di stazione</v>
      </c>
      <c r="E24" s="88">
        <f>+'3.4 Costi d''Investimento'!F31/SUM('3.4 Costi d''Investimento'!$F$15:$F$35,'3.4 Costi d''Investimento'!$F$37:$F$42,'3.4 Costi d''Investimento'!$F$45:$F$46)</f>
        <v>3.1229127931115402E-3</v>
      </c>
      <c r="F24" s="32">
        <v>15</v>
      </c>
      <c r="G24" s="170">
        <f t="shared" si="0"/>
        <v>4.6843691896673104E-2</v>
      </c>
      <c r="J24" s="236"/>
      <c r="K24" s="237"/>
    </row>
    <row r="25" spans="2:14" ht="13.5" customHeight="1" x14ac:dyDescent="0.25">
      <c r="B25" s="293"/>
      <c r="C25" s="55" t="s">
        <v>108</v>
      </c>
      <c r="D25" s="71" t="str">
        <f>+'3.4 Costi d''Investimento'!D32</f>
        <v>Impianti di telecomunicazione e sicurezza di linea e di stazione</v>
      </c>
      <c r="E25" s="88">
        <f>+'3.4 Costi d''Investimento'!F32/SUM('3.4 Costi d''Investimento'!$F$15:$F$35,'3.4 Costi d''Investimento'!$F$37:$F$42,'3.4 Costi d''Investimento'!$F$45:$F$46)</f>
        <v>9.928335469429752E-3</v>
      </c>
      <c r="F25" s="32">
        <v>15</v>
      </c>
      <c r="G25" s="170">
        <f t="shared" si="0"/>
        <v>0.14892503204144628</v>
      </c>
      <c r="J25" s="236"/>
      <c r="K25" s="237"/>
    </row>
    <row r="26" spans="2:14" ht="13.5" customHeight="1" x14ac:dyDescent="0.25">
      <c r="B26" s="293"/>
      <c r="C26" s="55" t="s">
        <v>109</v>
      </c>
      <c r="D26" s="71" t="str">
        <f>+'3.4 Costi d''Investimento'!D33</f>
        <v>Impianti di traslazione</v>
      </c>
      <c r="E26" s="88">
        <f>+'3.4 Costi d''Investimento'!F33/SUM('3.4 Costi d''Investimento'!$F$15:$F$35,'3.4 Costi d''Investimento'!$F$37:$F$42,'3.4 Costi d''Investimento'!$F$45:$F$46)</f>
        <v>7.2206076141307293E-3</v>
      </c>
      <c r="F26" s="32">
        <v>15</v>
      </c>
      <c r="G26" s="170">
        <f t="shared" si="0"/>
        <v>0.10830911421196093</v>
      </c>
      <c r="J26" s="236"/>
      <c r="K26" s="237"/>
    </row>
    <row r="27" spans="2:14" ht="13.5" customHeight="1" x14ac:dyDescent="0.25">
      <c r="B27" s="293"/>
      <c r="C27" s="55" t="s">
        <v>110</v>
      </c>
      <c r="D27" s="71" t="str">
        <f>+'3.4 Costi d''Investimento'!D34</f>
        <v>Altri impianti civili</v>
      </c>
      <c r="E27" s="88">
        <f>+'3.4 Costi d''Investimento'!F34/SUM('3.4 Costi d''Investimento'!$F$15:$F$35,'3.4 Costi d''Investimento'!$F$37:$F$42,'3.4 Costi d''Investimento'!$F$45:$F$46)</f>
        <v>6.1375164720111194E-3</v>
      </c>
      <c r="F27" s="32">
        <v>15</v>
      </c>
      <c r="G27" s="170">
        <f t="shared" si="0"/>
        <v>9.206274708016679E-2</v>
      </c>
      <c r="J27" s="236"/>
      <c r="K27" s="237"/>
    </row>
    <row r="28" spans="2:14" ht="13.5" customHeight="1" x14ac:dyDescent="0.25">
      <c r="B28" s="294"/>
      <c r="C28" s="55" t="s">
        <v>111</v>
      </c>
      <c r="D28" s="71" t="str">
        <f>+'3.4 Costi d''Investimento'!D35</f>
        <v>Sistemi di distribuzione e validazione biglietti</v>
      </c>
      <c r="E28" s="88">
        <f>+'3.4 Costi d''Investimento'!F35/SUM('3.4 Costi d''Investimento'!$F$15:$F$35,'3.4 Costi d''Investimento'!$F$37:$F$42,'3.4 Costi d''Investimento'!$F$45:$F$46)</f>
        <v>7.4011228044839972E-3</v>
      </c>
      <c r="F28" s="32">
        <v>15</v>
      </c>
      <c r="G28" s="170">
        <f t="shared" si="0"/>
        <v>0.11101684206725995</v>
      </c>
      <c r="J28" s="236"/>
      <c r="K28" s="237"/>
    </row>
    <row r="29" spans="2:14" ht="4.5" customHeight="1" x14ac:dyDescent="0.25">
      <c r="D29" s="10"/>
      <c r="E29" s="10"/>
      <c r="F29" s="10"/>
      <c r="G29" s="171"/>
      <c r="H29" s="5"/>
      <c r="I29" s="5"/>
      <c r="J29" s="234"/>
      <c r="K29" s="235"/>
      <c r="L29" s="5"/>
      <c r="M29" s="5"/>
      <c r="N29" s="5"/>
    </row>
    <row r="30" spans="2:14" ht="13.5" customHeight="1" x14ac:dyDescent="0.25">
      <c r="B30" s="288" t="s">
        <v>266</v>
      </c>
      <c r="C30" s="55" t="s">
        <v>267</v>
      </c>
      <c r="D30" s="71" t="str">
        <f>+'3.4 Costi d''Investimento'!D37</f>
        <v>Sistema di alimentazione e sezionamento</v>
      </c>
      <c r="E30" s="88">
        <f>+'3.4 Costi d''Investimento'!F37/SUM('3.4 Costi d''Investimento'!$F$15:$F$35,'3.4 Costi d''Investimento'!$F$45:$F$46,'3.4 Costi d''Investimento'!$F$37:$F$42)</f>
        <v>0</v>
      </c>
      <c r="F30" s="32">
        <v>15</v>
      </c>
      <c r="G30" s="170">
        <f t="shared" ref="G30:G35" si="1">+E30*F30</f>
        <v>0</v>
      </c>
      <c r="J30" s="238"/>
      <c r="K30" s="239"/>
      <c r="L30" s="14"/>
      <c r="M30" s="14"/>
      <c r="N30" s="14"/>
    </row>
    <row r="31" spans="2:14" ht="13.5" customHeight="1" x14ac:dyDescent="0.25">
      <c r="B31" s="293"/>
      <c r="C31" s="55" t="s">
        <v>268</v>
      </c>
      <c r="D31" s="71" t="str">
        <f>+'3.4 Costi d''Investimento'!D38</f>
        <v>Linea di contatto</v>
      </c>
      <c r="E31" s="88">
        <f>+'3.4 Costi d''Investimento'!F38/SUM('3.4 Costi d''Investimento'!$F$15:$F$35,'3.4 Costi d''Investimento'!$F$45:$F$46,'3.4 Costi d''Investimento'!$F$37:$F$42)</f>
        <v>0</v>
      </c>
      <c r="F31" s="32">
        <v>15</v>
      </c>
      <c r="G31" s="170">
        <f t="shared" si="1"/>
        <v>0</v>
      </c>
      <c r="J31" s="238"/>
      <c r="K31" s="239"/>
      <c r="L31" s="14"/>
      <c r="M31" s="14"/>
      <c r="N31" s="14"/>
    </row>
    <row r="32" spans="2:14" ht="13.5" customHeight="1" x14ac:dyDescent="0.25">
      <c r="B32" s="293"/>
      <c r="C32" s="55" t="s">
        <v>269</v>
      </c>
      <c r="D32" s="71" t="str">
        <f>+'3.4 Costi d''Investimento'!D39</f>
        <v>Sistema di automazione (SCADA)</v>
      </c>
      <c r="E32" s="88">
        <f>+'3.4 Costi d''Investimento'!F39/SUM('3.4 Costi d''Investimento'!$F$15:$F$35,'3.4 Costi d''Investimento'!$F$45:$F$46,'3.4 Costi d''Investimento'!$F$37:$F$42)</f>
        <v>0</v>
      </c>
      <c r="F32" s="32">
        <v>15</v>
      </c>
      <c r="G32" s="170">
        <f t="shared" si="1"/>
        <v>0</v>
      </c>
      <c r="J32" s="238"/>
      <c r="K32" s="239"/>
      <c r="L32" s="14"/>
      <c r="M32" s="14"/>
      <c r="N32" s="14"/>
    </row>
    <row r="33" spans="2:14" ht="13.5" customHeight="1" x14ac:dyDescent="0.25">
      <c r="B33" s="293"/>
      <c r="C33" s="55" t="s">
        <v>270</v>
      </c>
      <c r="D33" s="71" t="str">
        <f>+'3.4 Costi d''Investimento'!D40</f>
        <v>Segnalamento, telecomunicazioni T/B e sistemi di gestione esercizio</v>
      </c>
      <c r="E33" s="88">
        <f>+'3.4 Costi d''Investimento'!F40/SUM('3.4 Costi d''Investimento'!$F$15:$F$35,'3.4 Costi d''Investimento'!$F$45:$F$46,'3.4 Costi d''Investimento'!$F$37:$F$42)</f>
        <v>2.5272126649457553E-2</v>
      </c>
      <c r="F33" s="32">
        <v>15</v>
      </c>
      <c r="G33" s="170">
        <f t="shared" si="1"/>
        <v>0.37908189974186329</v>
      </c>
      <c r="J33" s="238"/>
      <c r="K33" s="239"/>
      <c r="L33" s="14"/>
      <c r="M33" s="14"/>
      <c r="N33" s="14"/>
    </row>
    <row r="34" spans="2:14" ht="13.5" customHeight="1" x14ac:dyDescent="0.25">
      <c r="B34" s="293"/>
      <c r="C34" s="55" t="s">
        <v>271</v>
      </c>
      <c r="D34" s="71" t="str">
        <f>+'3.4 Costi d''Investimento'!D41</f>
        <v xml:space="preserve">Deposito </v>
      </c>
      <c r="E34" s="88">
        <f>+'3.4 Costi d''Investimento'!F41/SUM('3.4 Costi d''Investimento'!$F$15:$F$35,'3.4 Costi d''Investimento'!$F$45:$F$46,'3.4 Costi d''Investimento'!$F$37:$F$42)</f>
        <v>4.5128797588317058E-3</v>
      </c>
      <c r="F34" s="32">
        <v>15</v>
      </c>
      <c r="G34" s="170">
        <f t="shared" si="1"/>
        <v>6.769319638247559E-2</v>
      </c>
      <c r="J34" s="238"/>
      <c r="K34" s="240"/>
      <c r="L34" s="15"/>
      <c r="M34" s="15"/>
      <c r="N34" s="15"/>
    </row>
    <row r="35" spans="2:14" ht="66" x14ac:dyDescent="0.25">
      <c r="B35" s="294"/>
      <c r="C35" s="55" t="s">
        <v>272</v>
      </c>
      <c r="D35" s="71" t="str">
        <f>+'3.4 Costi d''Investimento'!D42</f>
        <v>Altro</v>
      </c>
      <c r="E35" s="88">
        <f>+'3.4 Costi d''Investimento'!F42/SUM('3.4 Costi d''Investimento'!$F$15:$F$35,'3.4 Costi d''Investimento'!$F$45:$F$46,'3.4 Costi d''Investimento'!$F$37:$F$42)</f>
        <v>0.60531256205209671</v>
      </c>
      <c r="F35" s="56">
        <v>20</v>
      </c>
      <c r="G35" s="170">
        <f t="shared" si="1"/>
        <v>12.106251241041935</v>
      </c>
      <c r="J35" s="175" t="s">
        <v>709</v>
      </c>
      <c r="K35" s="177" t="s">
        <v>710</v>
      </c>
      <c r="L35" s="15"/>
      <c r="M35" s="15"/>
      <c r="N35" s="15"/>
    </row>
    <row r="36" spans="2:14" ht="4.5" customHeight="1" x14ac:dyDescent="0.25">
      <c r="G36" s="171"/>
      <c r="H36" s="5"/>
      <c r="I36" s="5"/>
      <c r="J36" s="145"/>
      <c r="K36" s="172"/>
      <c r="L36" s="5"/>
      <c r="M36" s="5"/>
      <c r="N36" s="5"/>
    </row>
    <row r="37" spans="2:14" ht="13.5" customHeight="1" x14ac:dyDescent="0.25">
      <c r="B37" s="291" t="s">
        <v>21</v>
      </c>
      <c r="C37" s="55" t="s">
        <v>460</v>
      </c>
      <c r="D37" s="71" t="str">
        <f>+'3.4 Costi d''Investimento'!D44</f>
        <v>Materiale rotabile (filobus)</v>
      </c>
      <c r="E37" s="88">
        <f>+'3.4 Costi d''Investimento'!F44/SUM('3.4 Costi d''Investimento'!$F$15:$F$35,'3.4 Costi d''Investimento'!$F$45:$F$46,'3.4 Costi d''Investimento'!$F$37:$F$42)</f>
        <v>0</v>
      </c>
      <c r="F37" s="32">
        <v>15</v>
      </c>
      <c r="G37" s="170">
        <f>+E37*F37</f>
        <v>0</v>
      </c>
      <c r="J37" s="175"/>
      <c r="K37" s="176"/>
      <c r="L37" s="14"/>
      <c r="M37" s="14"/>
      <c r="N37" s="14"/>
    </row>
    <row r="38" spans="2:14" ht="13.5" customHeight="1" x14ac:dyDescent="0.25">
      <c r="B38" s="291"/>
      <c r="C38" s="55" t="s">
        <v>562</v>
      </c>
      <c r="D38" s="71" t="str">
        <f>+'3.4 Costi d''Investimento'!D45</f>
        <v>Materiale rotabile (tram/metro)  (*)</v>
      </c>
      <c r="E38" s="88">
        <f>+'3.4 Costi d''Investimento'!F45/SUM('3.4 Costi d''Investimento'!$F$15:$F$35,'3.4 Costi d''Investimento'!$F$45:$F$46,'3.4 Costi d''Investimento'!$F$37:$F$42)</f>
        <v>0</v>
      </c>
      <c r="F38" s="32">
        <v>30</v>
      </c>
      <c r="G38" s="170">
        <f>+E38*F38</f>
        <v>0</v>
      </c>
      <c r="J38" s="175"/>
      <c r="K38" s="176"/>
      <c r="L38" s="14"/>
      <c r="M38" s="14"/>
      <c r="N38" s="14"/>
    </row>
    <row r="39" spans="2:14" ht="13.5" customHeight="1" x14ac:dyDescent="0.25">
      <c r="B39" s="291"/>
      <c r="C39" s="55" t="s">
        <v>578</v>
      </c>
      <c r="D39" s="71" t="str">
        <f>+'3.4 Costi d''Investimento'!D46</f>
        <v>Materiale rotabile (altro TPL)</v>
      </c>
      <c r="E39" s="88">
        <f>+'3.4 Costi d''Investimento'!F46/SUM('3.4 Costi d''Investimento'!$F$15:$F$35,'3.4 Costi d''Investimento'!$F$45:$F$46,'3.4 Costi d''Investimento'!$F$37:$F$42)</f>
        <v>8.3686842247775145E-2</v>
      </c>
      <c r="F39" s="56">
        <v>20</v>
      </c>
      <c r="G39" s="170">
        <f>+E39*F39</f>
        <v>1.6737368449555028</v>
      </c>
      <c r="J39" s="175" t="s">
        <v>711</v>
      </c>
      <c r="K39" s="176" t="s">
        <v>712</v>
      </c>
      <c r="L39" s="14"/>
      <c r="M39" s="14"/>
      <c r="N39" s="14"/>
    </row>
    <row r="40" spans="2:14" ht="4.5" customHeight="1" x14ac:dyDescent="0.25">
      <c r="H40" s="5"/>
      <c r="I40" s="5"/>
      <c r="J40" s="145"/>
      <c r="K40" s="172"/>
      <c r="L40" s="5"/>
      <c r="M40" s="5"/>
      <c r="N40" s="5"/>
    </row>
    <row r="41" spans="2:14" ht="13.5" customHeight="1" x14ac:dyDescent="0.25">
      <c r="C41" s="59" t="s">
        <v>112</v>
      </c>
      <c r="D41" s="52" t="s">
        <v>113</v>
      </c>
      <c r="E41" s="1"/>
      <c r="F41" s="16"/>
      <c r="G41" s="97">
        <f>+SUM(G8:G28,G37:G39,G30:G35)</f>
        <v>25.690154701518132</v>
      </c>
      <c r="J41" s="173"/>
      <c r="K41" s="174"/>
    </row>
    <row r="42" spans="2:14" ht="4.5" customHeight="1" x14ac:dyDescent="0.25">
      <c r="H42" s="5"/>
      <c r="I42" s="5"/>
      <c r="J42" s="5"/>
      <c r="K42" s="5"/>
      <c r="L42" s="5"/>
      <c r="M42" s="5"/>
      <c r="N42" s="5"/>
    </row>
  </sheetData>
  <mergeCells count="4">
    <mergeCell ref="B8:B28"/>
    <mergeCell ref="B30:B35"/>
    <mergeCell ref="B37:B39"/>
    <mergeCell ref="B4:G4"/>
  </mergeCells>
  <phoneticPr fontId="0" type="noConversion"/>
  <pageMargins left="0.7" right="0.7"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84"/>
  <sheetViews>
    <sheetView topLeftCell="E1" zoomScale="55" zoomScaleNormal="55" workbookViewId="0">
      <selection activeCell="AI91" sqref="AI91"/>
    </sheetView>
  </sheetViews>
  <sheetFormatPr defaultColWidth="9.140625" defaultRowHeight="16.5" x14ac:dyDescent="0.25"/>
  <cols>
    <col min="1" max="1" width="0.85546875" style="5" customWidth="1"/>
    <col min="2" max="3" width="8.5703125" style="5" customWidth="1"/>
    <col min="4" max="4" width="60" style="5" customWidth="1"/>
    <col min="5" max="5" width="8" style="5" bestFit="1" customWidth="1"/>
    <col min="6" max="8" width="12.85546875" style="5" customWidth="1"/>
    <col min="9" max="9" width="13.5703125" style="5" bestFit="1" customWidth="1"/>
    <col min="10" max="10" width="22.28515625" style="13" bestFit="1" customWidth="1"/>
    <col min="11" max="12" width="18" style="13" bestFit="1" customWidth="1"/>
    <col min="13" max="13" width="18" style="13" customWidth="1"/>
    <col min="14" max="16" width="18" style="13" bestFit="1" customWidth="1"/>
    <col min="17" max="17" width="19.5703125" style="13" bestFit="1" customWidth="1"/>
    <col min="18" max="19" width="18" style="13" bestFit="1" customWidth="1"/>
    <col min="20" max="20" width="19.140625" style="13" bestFit="1" customWidth="1"/>
    <col min="21" max="22" width="21.7109375" style="13" bestFit="1" customWidth="1"/>
    <col min="23" max="23" width="21.42578125" style="13" bestFit="1" customWidth="1"/>
    <col min="24" max="24" width="21.7109375" style="13" bestFit="1" customWidth="1"/>
    <col min="25" max="27" width="19.140625" style="13" bestFit="1" customWidth="1"/>
    <col min="28" max="28" width="20.140625" style="13" bestFit="1" customWidth="1"/>
    <col min="29" max="29" width="24.5703125" style="13" bestFit="1" customWidth="1"/>
    <col min="30" max="30" width="0.85546875" style="5" customWidth="1"/>
    <col min="31" max="31" width="47.42578125" style="5" customWidth="1"/>
    <col min="32" max="32" width="30.42578125" style="5" bestFit="1" customWidth="1"/>
    <col min="33" max="33" width="1.42578125" style="5" customWidth="1"/>
    <col min="34" max="34" width="29.7109375" style="5" bestFit="1" customWidth="1"/>
    <col min="35" max="35" width="9.140625" style="5"/>
    <col min="36" max="36" width="54" style="5" customWidth="1"/>
    <col min="37" max="16384" width="9.140625" style="5"/>
  </cols>
  <sheetData>
    <row r="1" spans="2:36" ht="4.5" customHeight="1" x14ac:dyDescent="0.25">
      <c r="B1" s="4"/>
      <c r="J1" s="5"/>
      <c r="K1" s="5"/>
      <c r="L1" s="5"/>
      <c r="M1" s="5"/>
      <c r="N1" s="5"/>
      <c r="O1" s="5"/>
      <c r="P1" s="5"/>
      <c r="Q1" s="5"/>
      <c r="R1" s="5"/>
      <c r="S1" s="5"/>
      <c r="T1" s="5"/>
      <c r="U1" s="5"/>
      <c r="V1" s="5"/>
      <c r="W1" s="5"/>
      <c r="X1" s="5"/>
      <c r="Y1" s="5"/>
      <c r="Z1" s="5"/>
      <c r="AA1" s="5"/>
      <c r="AB1" s="5"/>
      <c r="AC1" s="5"/>
    </row>
    <row r="2" spans="2:36" s="123" customFormat="1" ht="23.25" customHeight="1" x14ac:dyDescent="0.25">
      <c r="B2" s="123" t="str">
        <f>+'3.1 Mobilità e Rete TPL'!B2</f>
        <v>IMPIANTO DI TRASPORTO COLLETTIVO TRA LA CITTA' DI TRENTO ED IL MONTE BONDONE</v>
      </c>
      <c r="C2" s="126"/>
      <c r="D2" s="126"/>
      <c r="E2" s="126"/>
      <c r="F2" s="126"/>
      <c r="G2" s="126"/>
      <c r="H2" s="126"/>
      <c r="I2" s="126"/>
      <c r="J2" s="126"/>
      <c r="K2" s="126"/>
      <c r="L2" s="126"/>
      <c r="M2" s="126"/>
      <c r="N2" s="126"/>
      <c r="O2" s="126"/>
      <c r="P2" s="126"/>
      <c r="Q2" s="126"/>
      <c r="R2" s="126"/>
      <c r="S2" s="126"/>
      <c r="T2" s="126"/>
      <c r="AC2" s="125" t="str">
        <f>+'3.1 Mobilità e Rete TPL'!L2</f>
        <v>sottoprogramma 3</v>
      </c>
    </row>
    <row r="3" spans="2:36" ht="4.5" customHeight="1" x14ac:dyDescent="0.25">
      <c r="J3" s="5"/>
      <c r="K3" s="5"/>
      <c r="L3" s="5"/>
      <c r="M3" s="5"/>
      <c r="N3" s="5"/>
      <c r="O3" s="5"/>
      <c r="P3" s="5"/>
      <c r="Q3" s="5"/>
      <c r="R3" s="5"/>
      <c r="S3" s="5"/>
      <c r="T3" s="5"/>
      <c r="U3" s="5"/>
      <c r="V3" s="5"/>
      <c r="W3" s="5"/>
      <c r="X3" s="5"/>
      <c r="Y3" s="5"/>
      <c r="Z3" s="5"/>
      <c r="AA3" s="5"/>
      <c r="AB3" s="5"/>
      <c r="AC3" s="5"/>
    </row>
    <row r="4" spans="2:36" ht="14.25" customHeight="1" x14ac:dyDescent="0.25">
      <c r="B4" s="251" t="s">
        <v>514</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row>
    <row r="5" spans="2:36" ht="4.5" customHeight="1" x14ac:dyDescent="0.25"/>
    <row r="6" spans="2:36" s="6" customFormat="1" ht="13.5" customHeight="1" x14ac:dyDescent="0.25">
      <c r="B6" s="53" t="s">
        <v>42</v>
      </c>
      <c r="C6" s="53" t="s">
        <v>43</v>
      </c>
      <c r="D6" s="54" t="s">
        <v>44</v>
      </c>
      <c r="E6" s="54" t="s">
        <v>2</v>
      </c>
      <c r="F6" s="54" t="s">
        <v>611</v>
      </c>
      <c r="G6" s="54" t="s">
        <v>612</v>
      </c>
      <c r="H6" s="54" t="s">
        <v>27</v>
      </c>
      <c r="I6" s="54" t="s">
        <v>114</v>
      </c>
      <c r="J6" s="54" t="s">
        <v>115</v>
      </c>
      <c r="K6" s="139" t="s">
        <v>640</v>
      </c>
      <c r="L6" s="139" t="s">
        <v>641</v>
      </c>
      <c r="M6" s="139" t="s">
        <v>642</v>
      </c>
      <c r="N6" s="139" t="s">
        <v>643</v>
      </c>
      <c r="O6" s="139" t="s">
        <v>644</v>
      </c>
      <c r="P6" s="139" t="s">
        <v>645</v>
      </c>
      <c r="Q6" s="139" t="s">
        <v>646</v>
      </c>
      <c r="R6" s="139" t="s">
        <v>647</v>
      </c>
      <c r="S6" s="139" t="s">
        <v>648</v>
      </c>
      <c r="T6" s="139" t="s">
        <v>649</v>
      </c>
      <c r="U6" s="139" t="s">
        <v>650</v>
      </c>
      <c r="V6" s="139" t="s">
        <v>651</v>
      </c>
      <c r="W6" s="139" t="s">
        <v>652</v>
      </c>
      <c r="X6" s="139" t="s">
        <v>653</v>
      </c>
      <c r="Y6" s="139" t="s">
        <v>654</v>
      </c>
      <c r="Z6" s="139" t="s">
        <v>655</v>
      </c>
      <c r="AA6" s="139" t="s">
        <v>656</v>
      </c>
      <c r="AB6" s="139" t="s">
        <v>657</v>
      </c>
      <c r="AC6" s="139" t="s">
        <v>658</v>
      </c>
      <c r="AE6" s="231"/>
      <c r="AF6" s="231"/>
      <c r="AG6" s="231"/>
      <c r="AH6" s="231"/>
      <c r="AI6" s="231"/>
      <c r="AJ6" s="231"/>
    </row>
    <row r="7" spans="2:36" ht="4.5" customHeight="1" x14ac:dyDescent="0.25">
      <c r="AE7" s="9"/>
      <c r="AF7" s="9"/>
      <c r="AG7" s="9"/>
      <c r="AH7" s="9"/>
      <c r="AI7" s="9"/>
      <c r="AJ7" s="9"/>
    </row>
    <row r="8" spans="2:36" ht="13.5" customHeight="1" x14ac:dyDescent="0.25">
      <c r="B8" s="300" t="s">
        <v>116</v>
      </c>
      <c r="C8" s="55" t="s">
        <v>117</v>
      </c>
      <c r="D8" s="51" t="str">
        <f>+'3.4 Costi d''Investimento'!D15</f>
        <v>Risoluzione interferenze pubblici servizi</v>
      </c>
      <c r="E8" s="71" t="s">
        <v>480</v>
      </c>
      <c r="F8" s="31">
        <v>0</v>
      </c>
      <c r="G8" s="31">
        <v>0</v>
      </c>
      <c r="H8" s="31">
        <v>0</v>
      </c>
      <c r="I8" s="31">
        <v>0</v>
      </c>
      <c r="J8" s="7"/>
      <c r="K8" s="7"/>
      <c r="L8" s="7"/>
      <c r="M8" s="7"/>
      <c r="N8" s="7"/>
      <c r="O8" s="7"/>
      <c r="P8" s="142"/>
      <c r="Q8" s="142"/>
      <c r="R8" s="142"/>
      <c r="S8" s="142"/>
      <c r="T8" s="142"/>
      <c r="U8" s="142"/>
      <c r="V8" s="142"/>
      <c r="W8" s="142"/>
      <c r="X8" s="141"/>
      <c r="Y8" s="7"/>
      <c r="Z8" s="7"/>
      <c r="AA8" s="7"/>
      <c r="AB8" s="7"/>
      <c r="AC8" s="7"/>
      <c r="AE8" s="9"/>
      <c r="AF8" s="9"/>
      <c r="AG8" s="9"/>
      <c r="AH8" s="9"/>
      <c r="AI8" s="9"/>
      <c r="AJ8" s="9"/>
    </row>
    <row r="9" spans="2:36" ht="13.5" customHeight="1" x14ac:dyDescent="0.25">
      <c r="B9" s="301"/>
      <c r="C9" s="55" t="s">
        <v>118</v>
      </c>
      <c r="D9" s="51" t="str">
        <f>+'3.4 Costi d''Investimento'!D16</f>
        <v>Gallerie di linea e stazioni</v>
      </c>
      <c r="E9" s="71" t="s">
        <v>480</v>
      </c>
      <c r="F9" s="31">
        <v>0</v>
      </c>
      <c r="G9" s="31">
        <v>0</v>
      </c>
      <c r="H9" s="31">
        <v>0</v>
      </c>
      <c r="I9" s="31">
        <v>0</v>
      </c>
      <c r="J9" s="7"/>
      <c r="K9" s="7"/>
      <c r="L9" s="7"/>
      <c r="M9" s="7"/>
      <c r="N9" s="7"/>
      <c r="O9" s="7"/>
      <c r="P9" s="142"/>
      <c r="Q9" s="142"/>
      <c r="R9" s="142"/>
      <c r="S9" s="142"/>
      <c r="T9" s="142"/>
      <c r="U9" s="142"/>
      <c r="V9" s="142"/>
      <c r="W9" s="142"/>
      <c r="X9" s="141"/>
      <c r="Y9" s="7"/>
      <c r="Z9" s="7"/>
      <c r="AA9" s="7"/>
      <c r="AB9" s="7"/>
      <c r="AC9" s="7"/>
      <c r="AE9" s="9"/>
      <c r="AF9" s="9"/>
      <c r="AG9" s="9"/>
      <c r="AH9" s="9"/>
      <c r="AI9" s="9"/>
      <c r="AJ9" s="9"/>
    </row>
    <row r="10" spans="2:36" ht="13.5" customHeight="1" x14ac:dyDescent="0.25">
      <c r="B10" s="289"/>
      <c r="C10" s="55" t="s">
        <v>119</v>
      </c>
      <c r="D10" s="51" t="str">
        <f>+'3.4 Costi d''Investimento'!D17</f>
        <v>Pozzi e manufatti di inter-tratta</v>
      </c>
      <c r="E10" s="71" t="s">
        <v>480</v>
      </c>
      <c r="F10" s="31">
        <v>0</v>
      </c>
      <c r="G10" s="31">
        <v>0</v>
      </c>
      <c r="H10" s="31">
        <v>0</v>
      </c>
      <c r="I10" s="31">
        <v>0</v>
      </c>
      <c r="J10" s="7"/>
      <c r="K10" s="7"/>
      <c r="L10" s="7"/>
      <c r="M10" s="7"/>
      <c r="N10" s="7"/>
      <c r="O10" s="7"/>
      <c r="P10" s="142"/>
      <c r="Q10" s="142"/>
      <c r="R10" s="142"/>
      <c r="S10" s="142"/>
      <c r="T10" s="142"/>
      <c r="U10" s="142"/>
      <c r="V10" s="142"/>
      <c r="W10" s="142"/>
      <c r="X10" s="141"/>
      <c r="Y10" s="7"/>
      <c r="Z10" s="7"/>
      <c r="AA10" s="7"/>
      <c r="AB10" s="7"/>
      <c r="AC10" s="7"/>
      <c r="AE10" s="9"/>
      <c r="AF10" s="9"/>
      <c r="AG10" s="9"/>
      <c r="AH10" s="9"/>
      <c r="AI10" s="9"/>
      <c r="AJ10" s="9"/>
    </row>
    <row r="11" spans="2:36" ht="13.5" customHeight="1" x14ac:dyDescent="0.25">
      <c r="B11" s="289"/>
      <c r="C11" s="55" t="s">
        <v>120</v>
      </c>
      <c r="D11" s="51" t="str">
        <f>+'3.4 Costi d''Investimento'!D18</f>
        <v>Ponti</v>
      </c>
      <c r="E11" s="71" t="s">
        <v>480</v>
      </c>
      <c r="F11" s="31">
        <v>0</v>
      </c>
      <c r="G11" s="31">
        <v>0</v>
      </c>
      <c r="H11" s="31">
        <v>0</v>
      </c>
      <c r="I11" s="31">
        <v>0</v>
      </c>
      <c r="J11" s="7"/>
      <c r="K11" s="7"/>
      <c r="L11" s="7"/>
      <c r="M11" s="7"/>
      <c r="N11" s="7"/>
      <c r="O11" s="7"/>
      <c r="P11" s="142"/>
      <c r="Q11" s="142"/>
      <c r="R11" s="142"/>
      <c r="S11" s="142"/>
      <c r="T11" s="142"/>
      <c r="U11" s="142"/>
      <c r="V11" s="142"/>
      <c r="W11" s="142"/>
      <c r="X11" s="141"/>
      <c r="Y11" s="7"/>
      <c r="Z11" s="7"/>
      <c r="AA11" s="7"/>
      <c r="AB11" s="7"/>
      <c r="AC11" s="7"/>
      <c r="AE11" s="9"/>
      <c r="AF11" s="9"/>
      <c r="AG11" s="9"/>
      <c r="AH11" s="9"/>
      <c r="AI11" s="9"/>
      <c r="AJ11" s="9"/>
    </row>
    <row r="12" spans="2:36" ht="13.5" customHeight="1" x14ac:dyDescent="0.25">
      <c r="B12" s="289"/>
      <c r="C12" s="55" t="s">
        <v>121</v>
      </c>
      <c r="D12" s="51" t="str">
        <f>+'3.4 Costi d''Investimento'!D19</f>
        <v>Edifici diversi da stazioni e deposito (opere al rustico e finiture)</v>
      </c>
      <c r="E12" s="71" t="s">
        <v>480</v>
      </c>
      <c r="F12" s="31">
        <v>0</v>
      </c>
      <c r="G12" s="31">
        <v>0</v>
      </c>
      <c r="H12" s="31">
        <v>0</v>
      </c>
      <c r="I12" s="31">
        <v>0</v>
      </c>
      <c r="J12" s="7"/>
      <c r="K12" s="7"/>
      <c r="L12" s="7"/>
      <c r="M12" s="7"/>
      <c r="N12" s="7"/>
      <c r="O12" s="7"/>
      <c r="P12" s="142"/>
      <c r="Q12" s="142"/>
      <c r="R12" s="142"/>
      <c r="S12" s="142"/>
      <c r="T12" s="142"/>
      <c r="U12" s="142"/>
      <c r="V12" s="142"/>
      <c r="W12" s="142"/>
      <c r="X12" s="141"/>
      <c r="Y12" s="7"/>
      <c r="Z12" s="7"/>
      <c r="AA12" s="7"/>
      <c r="AB12" s="7"/>
      <c r="AC12" s="7"/>
      <c r="AE12" s="9"/>
      <c r="AF12" s="9"/>
      <c r="AG12" s="9"/>
      <c r="AH12" s="9"/>
      <c r="AI12" s="9"/>
      <c r="AJ12" s="9"/>
    </row>
    <row r="13" spans="2:36" ht="13.5" customHeight="1" x14ac:dyDescent="0.25">
      <c r="B13" s="289"/>
      <c r="C13" s="55" t="s">
        <v>122</v>
      </c>
      <c r="D13" s="51" t="str">
        <f>+'3.4 Costi d''Investimento'!D20</f>
        <v>Piattaforma sede ferroviaria o stradale</v>
      </c>
      <c r="E13" s="71" t="s">
        <v>480</v>
      </c>
      <c r="F13" s="31">
        <v>0</v>
      </c>
      <c r="G13" s="31">
        <v>0</v>
      </c>
      <c r="H13" s="31">
        <v>0</v>
      </c>
      <c r="I13" s="31">
        <v>0</v>
      </c>
      <c r="J13" s="7"/>
      <c r="K13" s="7"/>
      <c r="L13" s="7"/>
      <c r="M13" s="7"/>
      <c r="N13" s="7"/>
      <c r="O13" s="7"/>
      <c r="P13" s="142"/>
      <c r="Q13" s="142"/>
      <c r="R13" s="142"/>
      <c r="S13" s="142"/>
      <c r="T13" s="142"/>
      <c r="U13" s="142"/>
      <c r="V13" s="142"/>
      <c r="W13" s="142"/>
      <c r="X13" s="141"/>
      <c r="Y13" s="7"/>
      <c r="Z13" s="7"/>
      <c r="AA13" s="7"/>
      <c r="AB13" s="7"/>
      <c r="AC13" s="7"/>
      <c r="AE13" s="9"/>
      <c r="AF13" s="9"/>
      <c r="AG13" s="9"/>
      <c r="AH13" s="9"/>
      <c r="AI13" s="9"/>
      <c r="AJ13" s="9"/>
    </row>
    <row r="14" spans="2:36" ht="13.5" customHeight="1" x14ac:dyDescent="0.25">
      <c r="B14" s="289"/>
      <c r="C14" s="55" t="s">
        <v>123</v>
      </c>
      <c r="D14" s="51" t="str">
        <f>+'3.4 Costi d''Investimento'!D21</f>
        <v>Sovrastruttura ferroviaira/tramviaria</v>
      </c>
      <c r="E14" s="71" t="s">
        <v>480</v>
      </c>
      <c r="F14" s="31">
        <v>0</v>
      </c>
      <c r="G14" s="31">
        <v>0</v>
      </c>
      <c r="H14" s="31">
        <v>0</v>
      </c>
      <c r="I14" s="31">
        <v>0</v>
      </c>
      <c r="J14" s="7"/>
      <c r="K14" s="7"/>
      <c r="L14" s="7"/>
      <c r="M14" s="7"/>
      <c r="N14" s="7"/>
      <c r="O14" s="7"/>
      <c r="P14" s="142"/>
      <c r="Q14" s="142"/>
      <c r="R14" s="142"/>
      <c r="S14" s="142"/>
      <c r="T14" s="142"/>
      <c r="U14" s="142"/>
      <c r="V14" s="142"/>
      <c r="W14" s="142"/>
      <c r="X14" s="141"/>
      <c r="Y14" s="7"/>
      <c r="Z14" s="7"/>
      <c r="AA14" s="7"/>
      <c r="AB14" s="7"/>
      <c r="AC14" s="7"/>
      <c r="AE14" s="9"/>
      <c r="AF14" s="9"/>
      <c r="AG14" s="9"/>
      <c r="AH14" s="9"/>
      <c r="AI14" s="9"/>
      <c r="AJ14" s="9"/>
    </row>
    <row r="15" spans="2:36" ht="13.5" customHeight="1" x14ac:dyDescent="0.25">
      <c r="B15" s="289"/>
      <c r="C15" s="55" t="s">
        <v>124</v>
      </c>
      <c r="D15" s="51" t="str">
        <f>+'3.4 Costi d''Investimento'!D22</f>
        <v>Sovrastruttura stradale dedicata</v>
      </c>
      <c r="E15" s="71" t="s">
        <v>480</v>
      </c>
      <c r="F15" s="31">
        <v>0</v>
      </c>
      <c r="G15" s="31">
        <v>0</v>
      </c>
      <c r="H15" s="31">
        <v>0</v>
      </c>
      <c r="I15" s="31">
        <v>0</v>
      </c>
      <c r="J15" s="7"/>
      <c r="K15" s="7"/>
      <c r="L15" s="7"/>
      <c r="M15" s="7"/>
      <c r="N15" s="7"/>
      <c r="O15" s="7"/>
      <c r="P15" s="142"/>
      <c r="Q15" s="142"/>
      <c r="R15" s="142"/>
      <c r="S15" s="142"/>
      <c r="T15" s="142"/>
      <c r="U15" s="142"/>
      <c r="V15" s="142"/>
      <c r="W15" s="142"/>
      <c r="X15" s="141"/>
      <c r="Y15" s="7"/>
      <c r="Z15" s="7"/>
      <c r="AA15" s="7"/>
      <c r="AB15" s="7"/>
      <c r="AC15" s="7"/>
      <c r="AE15" s="9"/>
      <c r="AF15" s="9"/>
      <c r="AG15" s="9"/>
      <c r="AH15" s="9"/>
      <c r="AI15" s="9"/>
      <c r="AJ15" s="9"/>
    </row>
    <row r="16" spans="2:36" ht="13.5" customHeight="1" x14ac:dyDescent="0.25">
      <c r="B16" s="289"/>
      <c r="C16" s="55" t="s">
        <v>125</v>
      </c>
      <c r="D16" s="51" t="str">
        <f>+'3.4 Costi d''Investimento'!D23</f>
        <v>Stazioni/fermate tram o filobus</v>
      </c>
      <c r="E16" s="71" t="s">
        <v>480</v>
      </c>
      <c r="F16" s="31">
        <v>0</v>
      </c>
      <c r="G16" s="31">
        <v>0</v>
      </c>
      <c r="H16" s="31">
        <v>0</v>
      </c>
      <c r="I16" s="31">
        <v>0</v>
      </c>
      <c r="J16" s="7"/>
      <c r="K16" s="7"/>
      <c r="L16" s="7"/>
      <c r="M16" s="7"/>
      <c r="N16" s="7"/>
      <c r="O16" s="7"/>
      <c r="P16" s="142"/>
      <c r="Q16" s="142"/>
      <c r="R16" s="142"/>
      <c r="S16" s="142"/>
      <c r="T16" s="142"/>
      <c r="U16" s="142"/>
      <c r="V16" s="142"/>
      <c r="W16" s="142"/>
      <c r="X16" s="141"/>
      <c r="Y16" s="7"/>
      <c r="Z16" s="7"/>
      <c r="AA16" s="7"/>
      <c r="AB16" s="7"/>
      <c r="AC16" s="7"/>
      <c r="AE16" s="9"/>
      <c r="AF16" s="9"/>
      <c r="AG16" s="9"/>
      <c r="AH16" s="9"/>
      <c r="AI16" s="9"/>
      <c r="AJ16" s="9"/>
    </row>
    <row r="17" spans="2:36" ht="13.5" customHeight="1" x14ac:dyDescent="0.25">
      <c r="B17" s="289"/>
      <c r="C17" s="55" t="s">
        <v>126</v>
      </c>
      <c r="D17" s="51" t="str">
        <f>+'3.4 Costi d''Investimento'!D24</f>
        <v>Stazioni metro aperte</v>
      </c>
      <c r="E17" s="71" t="s">
        <v>480</v>
      </c>
      <c r="F17" s="31">
        <v>0</v>
      </c>
      <c r="G17" s="31">
        <v>0</v>
      </c>
      <c r="H17" s="31">
        <v>0</v>
      </c>
      <c r="I17" s="31">
        <v>0</v>
      </c>
      <c r="J17" s="7"/>
      <c r="K17" s="7"/>
      <c r="L17" s="7"/>
      <c r="M17" s="7"/>
      <c r="N17" s="7"/>
      <c r="O17" s="7"/>
      <c r="P17" s="142"/>
      <c r="Q17" s="142"/>
      <c r="R17" s="142"/>
      <c r="S17" s="142"/>
      <c r="T17" s="142"/>
      <c r="U17" s="142"/>
      <c r="V17" s="142"/>
      <c r="W17" s="142"/>
      <c r="X17" s="141"/>
      <c r="Y17" s="7"/>
      <c r="Z17" s="7"/>
      <c r="AA17" s="7"/>
      <c r="AB17" s="7"/>
      <c r="AC17" s="7"/>
      <c r="AE17" s="9"/>
      <c r="AF17" s="9"/>
      <c r="AG17" s="9"/>
      <c r="AH17" s="9"/>
      <c r="AI17" s="9"/>
      <c r="AJ17" s="9"/>
    </row>
    <row r="18" spans="2:36" ht="13.5" customHeight="1" x14ac:dyDescent="0.25">
      <c r="B18" s="289"/>
      <c r="C18" s="55" t="s">
        <v>127</v>
      </c>
      <c r="D18" s="51" t="str">
        <f>+'3.4 Costi d''Investimento'!D25</f>
        <v>Stazioni metro chiuse sotterranee superficiali</v>
      </c>
      <c r="E18" s="71" t="s">
        <v>480</v>
      </c>
      <c r="F18" s="31">
        <v>0</v>
      </c>
      <c r="G18" s="31">
        <v>0</v>
      </c>
      <c r="H18" s="31">
        <v>0</v>
      </c>
      <c r="I18" s="31">
        <v>0</v>
      </c>
      <c r="J18" s="7"/>
      <c r="K18" s="7"/>
      <c r="L18" s="7"/>
      <c r="M18" s="7"/>
      <c r="N18" s="7"/>
      <c r="O18" s="7"/>
      <c r="P18" s="142"/>
      <c r="Q18" s="142"/>
      <c r="R18" s="142"/>
      <c r="S18" s="142"/>
      <c r="T18" s="142"/>
      <c r="U18" s="142"/>
      <c r="V18" s="142"/>
      <c r="W18" s="142"/>
      <c r="X18" s="141"/>
      <c r="Y18" s="7"/>
      <c r="Z18" s="7"/>
      <c r="AA18" s="7"/>
      <c r="AB18" s="7"/>
      <c r="AC18" s="7"/>
      <c r="AE18" s="9"/>
      <c r="AF18" s="9"/>
      <c r="AG18" s="9"/>
      <c r="AH18" s="9"/>
      <c r="AI18" s="9"/>
      <c r="AJ18" s="9"/>
    </row>
    <row r="19" spans="2:36" ht="13.5" customHeight="1" x14ac:dyDescent="0.25">
      <c r="B19" s="289"/>
      <c r="C19" s="55" t="s">
        <v>128</v>
      </c>
      <c r="D19" s="51" t="str">
        <f>+'3.4 Costi d''Investimento'!D26</f>
        <v>Stazioni metro chiuse sotterranee profonde</v>
      </c>
      <c r="E19" s="71" t="s">
        <v>480</v>
      </c>
      <c r="F19" s="31">
        <v>0</v>
      </c>
      <c r="G19" s="31">
        <v>0</v>
      </c>
      <c r="H19" s="31">
        <v>0</v>
      </c>
      <c r="I19" s="31">
        <v>0</v>
      </c>
      <c r="J19" s="7"/>
      <c r="K19" s="7"/>
      <c r="L19" s="7"/>
      <c r="M19" s="7"/>
      <c r="N19" s="7"/>
      <c r="O19" s="7"/>
      <c r="P19" s="142"/>
      <c r="Q19" s="142"/>
      <c r="R19" s="142"/>
      <c r="S19" s="142"/>
      <c r="T19" s="142"/>
      <c r="U19" s="142"/>
      <c r="V19" s="142"/>
      <c r="W19" s="142"/>
      <c r="X19" s="141"/>
      <c r="Y19" s="7"/>
      <c r="Z19" s="7"/>
      <c r="AA19" s="7"/>
      <c r="AB19" s="7"/>
      <c r="AC19" s="7"/>
      <c r="AE19" s="9"/>
      <c r="AF19" s="9"/>
      <c r="AG19" s="9"/>
      <c r="AH19" s="9"/>
      <c r="AI19" s="9"/>
      <c r="AJ19" s="9"/>
    </row>
    <row r="20" spans="2:36" ht="13.5" customHeight="1" x14ac:dyDescent="0.25">
      <c r="B20" s="289"/>
      <c r="C20" s="55" t="s">
        <v>129</v>
      </c>
      <c r="D20" s="51" t="str">
        <f>+'3.4 Costi d''Investimento'!D27</f>
        <v>Deposito (opere al rustico e finiture, escluso impianti)</v>
      </c>
      <c r="E20" s="71" t="s">
        <v>480</v>
      </c>
      <c r="F20" s="31">
        <v>0</v>
      </c>
      <c r="G20" s="31">
        <v>0</v>
      </c>
      <c r="H20" s="31">
        <v>0</v>
      </c>
      <c r="I20" s="31">
        <v>0</v>
      </c>
      <c r="J20" s="7"/>
      <c r="K20" s="7"/>
      <c r="L20" s="7"/>
      <c r="M20" s="7"/>
      <c r="N20" s="7"/>
      <c r="O20" s="7"/>
      <c r="P20" s="142"/>
      <c r="Q20" s="142"/>
      <c r="R20" s="142"/>
      <c r="S20" s="142"/>
      <c r="T20" s="142"/>
      <c r="U20" s="142"/>
      <c r="V20" s="142"/>
      <c r="W20" s="142"/>
      <c r="X20" s="141"/>
      <c r="Y20" s="7"/>
      <c r="Z20" s="7"/>
      <c r="AA20" s="7"/>
      <c r="AB20" s="7"/>
      <c r="AC20" s="7"/>
      <c r="AE20" s="9"/>
      <c r="AF20" s="9"/>
      <c r="AG20" s="9"/>
      <c r="AH20" s="9"/>
      <c r="AI20" s="9"/>
      <c r="AJ20" s="9"/>
    </row>
    <row r="21" spans="2:36" ht="13.5" customHeight="1" x14ac:dyDescent="0.25">
      <c r="B21" s="289"/>
      <c r="C21" s="55" t="s">
        <v>130</v>
      </c>
      <c r="D21" s="51" t="str">
        <f>+'3.4 Costi d''Investimento'!D28</f>
        <v xml:space="preserve">Sistemazioni urbanistiche </v>
      </c>
      <c r="E21" s="71" t="s">
        <v>480</v>
      </c>
      <c r="F21" s="31">
        <v>0</v>
      </c>
      <c r="G21" s="31">
        <v>0</v>
      </c>
      <c r="H21" s="31">
        <v>0</v>
      </c>
      <c r="I21" s="31">
        <v>0</v>
      </c>
      <c r="J21" s="7"/>
      <c r="K21" s="7"/>
      <c r="L21" s="7"/>
      <c r="M21" s="7"/>
      <c r="N21" s="7"/>
      <c r="O21" s="7"/>
      <c r="P21" s="142"/>
      <c r="Q21" s="142"/>
      <c r="R21" s="142"/>
      <c r="S21" s="142"/>
      <c r="T21" s="142"/>
      <c r="U21" s="142"/>
      <c r="V21" s="142"/>
      <c r="W21" s="142"/>
      <c r="X21" s="141"/>
      <c r="Y21" s="7"/>
      <c r="Z21" s="7"/>
      <c r="AA21" s="7"/>
      <c r="AB21" s="7"/>
      <c r="AC21" s="7"/>
      <c r="AE21" s="9"/>
      <c r="AF21" s="9"/>
      <c r="AG21" s="9"/>
      <c r="AH21" s="9"/>
      <c r="AI21" s="9"/>
      <c r="AJ21" s="9"/>
    </row>
    <row r="22" spans="2:36" ht="13.5" customHeight="1" x14ac:dyDescent="0.25">
      <c r="B22" s="289"/>
      <c r="C22" s="55" t="s">
        <v>131</v>
      </c>
      <c r="D22" s="51" t="str">
        <f>+'3.4 Costi d''Investimento'!D29</f>
        <v>Opere complementari</v>
      </c>
      <c r="E22" s="71" t="s">
        <v>480</v>
      </c>
      <c r="F22" s="31">
        <v>0</v>
      </c>
      <c r="G22" s="31">
        <v>0</v>
      </c>
      <c r="H22" s="31">
        <v>0</v>
      </c>
      <c r="I22" s="31">
        <v>0</v>
      </c>
      <c r="J22" s="7"/>
      <c r="K22" s="7"/>
      <c r="L22" s="7"/>
      <c r="M22" s="7"/>
      <c r="N22" s="7"/>
      <c r="O22" s="7"/>
      <c r="P22" s="142"/>
      <c r="Q22" s="142"/>
      <c r="R22" s="142"/>
      <c r="S22" s="142"/>
      <c r="T22" s="142"/>
      <c r="U22" s="142"/>
      <c r="V22" s="142"/>
      <c r="W22" s="142"/>
      <c r="X22" s="141"/>
      <c r="Y22" s="7"/>
      <c r="Z22" s="7"/>
      <c r="AA22" s="7"/>
      <c r="AB22" s="7"/>
      <c r="AC22" s="7"/>
      <c r="AE22" s="9"/>
      <c r="AF22" s="9"/>
      <c r="AG22" s="9"/>
      <c r="AH22" s="9"/>
      <c r="AI22" s="9"/>
      <c r="AJ22" s="9"/>
    </row>
    <row r="23" spans="2:36" ht="13.5" customHeight="1" x14ac:dyDescent="0.25">
      <c r="B23" s="289"/>
      <c r="C23" s="55" t="s">
        <v>132</v>
      </c>
      <c r="D23" s="51" t="str">
        <f>+'3.4 Costi d''Investimento'!D30</f>
        <v>Impianti di ventilazione di linea e di stazione</v>
      </c>
      <c r="E23" s="71" t="s">
        <v>480</v>
      </c>
      <c r="F23" s="31">
        <v>0</v>
      </c>
      <c r="G23" s="31">
        <v>0</v>
      </c>
      <c r="H23" s="31">
        <v>0</v>
      </c>
      <c r="I23" s="31">
        <v>0</v>
      </c>
      <c r="J23" s="7"/>
      <c r="K23" s="7"/>
      <c r="L23" s="7"/>
      <c r="M23" s="7"/>
      <c r="N23" s="7"/>
      <c r="O23" s="7"/>
      <c r="P23" s="142"/>
      <c r="Q23" s="142"/>
      <c r="R23" s="142"/>
      <c r="S23" s="142"/>
      <c r="T23" s="142"/>
      <c r="U23" s="142"/>
      <c r="V23" s="34"/>
      <c r="W23" s="34"/>
      <c r="X23" s="141"/>
      <c r="Y23" s="34"/>
      <c r="Z23" s="34"/>
      <c r="AA23" s="34"/>
      <c r="AB23" s="34"/>
      <c r="AC23" s="34"/>
      <c r="AE23" s="9"/>
      <c r="AF23" s="9"/>
      <c r="AG23" s="9"/>
      <c r="AH23" s="9"/>
      <c r="AI23" s="9"/>
      <c r="AJ23" s="9"/>
    </row>
    <row r="24" spans="2:36" ht="13.5" customHeight="1" x14ac:dyDescent="0.25">
      <c r="B24" s="289"/>
      <c r="C24" s="55" t="s">
        <v>133</v>
      </c>
      <c r="D24" s="51" t="str">
        <f>+'3.4 Costi d''Investimento'!D31</f>
        <v>Impianti di prevenzione e protezione incendi di linea e di stazione</v>
      </c>
      <c r="E24" s="71" t="s">
        <v>480</v>
      </c>
      <c r="F24" s="31">
        <v>0</v>
      </c>
      <c r="G24" s="31">
        <v>0</v>
      </c>
      <c r="H24" s="31">
        <v>0</v>
      </c>
      <c r="I24" s="31">
        <v>0</v>
      </c>
      <c r="J24" s="7"/>
      <c r="K24" s="7"/>
      <c r="L24" s="7"/>
      <c r="M24" s="7"/>
      <c r="N24" s="7"/>
      <c r="O24" s="7"/>
      <c r="P24" s="142"/>
      <c r="Q24" s="142"/>
      <c r="R24" s="142"/>
      <c r="S24" s="142"/>
      <c r="T24" s="142"/>
      <c r="U24" s="142"/>
      <c r="V24" s="34"/>
      <c r="W24" s="34"/>
      <c r="X24" s="141">
        <v>173000</v>
      </c>
      <c r="Y24" s="34"/>
      <c r="Z24" s="34"/>
      <c r="AA24" s="34"/>
      <c r="AB24" s="34"/>
      <c r="AC24" s="34"/>
      <c r="AE24" s="9"/>
      <c r="AF24" s="9"/>
      <c r="AG24" s="9"/>
      <c r="AH24" s="9"/>
      <c r="AI24" s="9"/>
      <c r="AJ24" s="9"/>
    </row>
    <row r="25" spans="2:36" ht="13.5" customHeight="1" x14ac:dyDescent="0.25">
      <c r="B25" s="289"/>
      <c r="C25" s="55" t="s">
        <v>134</v>
      </c>
      <c r="D25" s="51" t="str">
        <f>+'3.4 Costi d''Investimento'!D32</f>
        <v>Impianti di telecomunicazione e sicurezza di linea e di stazione</v>
      </c>
      <c r="E25" s="71" t="s">
        <v>480</v>
      </c>
      <c r="F25" s="31">
        <v>0</v>
      </c>
      <c r="G25" s="31">
        <v>0</v>
      </c>
      <c r="H25" s="31">
        <v>0</v>
      </c>
      <c r="I25" s="31">
        <v>0</v>
      </c>
      <c r="J25" s="7"/>
      <c r="K25" s="7"/>
      <c r="L25" s="7"/>
      <c r="M25" s="7"/>
      <c r="N25" s="7"/>
      <c r="O25" s="7"/>
      <c r="P25" s="142"/>
      <c r="Q25" s="142"/>
      <c r="R25" s="142"/>
      <c r="S25" s="142"/>
      <c r="T25" s="142"/>
      <c r="U25" s="142"/>
      <c r="V25" s="34"/>
      <c r="W25" s="34"/>
      <c r="X25" s="141">
        <v>550000</v>
      </c>
      <c r="Y25" s="34"/>
      <c r="Z25" s="34"/>
      <c r="AA25" s="34"/>
      <c r="AB25" s="34"/>
      <c r="AC25" s="34"/>
      <c r="AE25" s="9"/>
      <c r="AF25" s="9"/>
      <c r="AG25" s="9"/>
      <c r="AH25" s="9"/>
      <c r="AI25" s="9"/>
      <c r="AJ25" s="9"/>
    </row>
    <row r="26" spans="2:36" ht="13.5" customHeight="1" x14ac:dyDescent="0.25">
      <c r="B26" s="289"/>
      <c r="C26" s="55" t="s">
        <v>135</v>
      </c>
      <c r="D26" s="51" t="str">
        <f>+'3.4 Costi d''Investimento'!D33</f>
        <v>Impianti di traslazione</v>
      </c>
      <c r="E26" s="71" t="s">
        <v>480</v>
      </c>
      <c r="F26" s="31">
        <v>0</v>
      </c>
      <c r="G26" s="31">
        <v>0</v>
      </c>
      <c r="H26" s="31">
        <v>0</v>
      </c>
      <c r="I26" s="31">
        <v>0</v>
      </c>
      <c r="J26" s="7"/>
      <c r="K26" s="7"/>
      <c r="L26" s="7"/>
      <c r="M26" s="7"/>
      <c r="N26" s="7"/>
      <c r="O26" s="7"/>
      <c r="P26" s="142"/>
      <c r="Q26" s="142"/>
      <c r="R26" s="142"/>
      <c r="S26" s="142"/>
      <c r="T26" s="142"/>
      <c r="U26" s="142"/>
      <c r="V26" s="34"/>
      <c r="W26" s="34"/>
      <c r="X26" s="141">
        <v>400000</v>
      </c>
      <c r="Y26" s="34"/>
      <c r="Z26" s="34"/>
      <c r="AA26" s="34"/>
      <c r="AB26" s="34"/>
      <c r="AC26" s="34"/>
      <c r="AE26" s="9"/>
      <c r="AF26" s="9"/>
      <c r="AG26" s="9"/>
      <c r="AH26" s="9"/>
      <c r="AI26" s="9"/>
      <c r="AJ26" s="9"/>
    </row>
    <row r="27" spans="2:36" ht="13.5" customHeight="1" x14ac:dyDescent="0.25">
      <c r="B27" s="289"/>
      <c r="C27" s="55" t="s">
        <v>136</v>
      </c>
      <c r="D27" s="51" t="str">
        <f>+'3.4 Costi d''Investimento'!D34</f>
        <v>Altri impianti civili</v>
      </c>
      <c r="E27" s="71" t="s">
        <v>480</v>
      </c>
      <c r="F27" s="31">
        <v>0</v>
      </c>
      <c r="G27" s="31">
        <v>0</v>
      </c>
      <c r="H27" s="31">
        <v>0</v>
      </c>
      <c r="I27" s="31">
        <v>0</v>
      </c>
      <c r="J27" s="7"/>
      <c r="K27" s="7"/>
      <c r="L27" s="7"/>
      <c r="M27" s="7"/>
      <c r="N27" s="7"/>
      <c r="O27" s="7"/>
      <c r="P27" s="142"/>
      <c r="Q27" s="142"/>
      <c r="R27" s="142"/>
      <c r="S27" s="142"/>
      <c r="T27" s="142"/>
      <c r="U27" s="142"/>
      <c r="V27" s="34"/>
      <c r="W27" s="34"/>
      <c r="X27" s="141">
        <v>340000</v>
      </c>
      <c r="Y27" s="34"/>
      <c r="Z27" s="34"/>
      <c r="AA27" s="34"/>
      <c r="AB27" s="34"/>
      <c r="AC27" s="34"/>
      <c r="AE27" s="9"/>
      <c r="AF27" s="9"/>
      <c r="AG27" s="9"/>
      <c r="AH27" s="9"/>
      <c r="AI27" s="9"/>
      <c r="AJ27" s="9"/>
    </row>
    <row r="28" spans="2:36" ht="13.5" customHeight="1" x14ac:dyDescent="0.25">
      <c r="B28" s="289"/>
      <c r="C28" s="55" t="s">
        <v>137</v>
      </c>
      <c r="D28" s="51" t="str">
        <f>+'3.4 Costi d''Investimento'!D35</f>
        <v>Sistemi di distribuzione e validazione biglietti</v>
      </c>
      <c r="E28" s="71" t="s">
        <v>480</v>
      </c>
      <c r="F28" s="31">
        <v>0</v>
      </c>
      <c r="G28" s="31">
        <v>0</v>
      </c>
      <c r="H28" s="31">
        <v>0</v>
      </c>
      <c r="I28" s="31">
        <v>0</v>
      </c>
      <c r="J28" s="7"/>
      <c r="K28" s="7"/>
      <c r="L28" s="7"/>
      <c r="M28" s="7"/>
      <c r="N28" s="7"/>
      <c r="O28" s="7"/>
      <c r="P28" s="142"/>
      <c r="Q28" s="142"/>
      <c r="R28" s="142"/>
      <c r="S28" s="142"/>
      <c r="T28" s="142"/>
      <c r="U28" s="142"/>
      <c r="V28" s="34"/>
      <c r="W28" s="34"/>
      <c r="X28" s="141">
        <v>410000</v>
      </c>
      <c r="Y28" s="34"/>
      <c r="Z28" s="34"/>
      <c r="AA28" s="34"/>
      <c r="AB28" s="34"/>
      <c r="AC28" s="34"/>
      <c r="AE28" s="9"/>
      <c r="AF28" s="9"/>
      <c r="AG28" s="9"/>
      <c r="AH28" s="9"/>
      <c r="AI28" s="9"/>
      <c r="AJ28" s="9"/>
    </row>
    <row r="29" spans="2:36" ht="13.5" customHeight="1" x14ac:dyDescent="0.25">
      <c r="B29" s="289"/>
      <c r="C29" s="55" t="s">
        <v>273</v>
      </c>
      <c r="D29" s="50" t="str">
        <f>+'3.4 Costi d''Investimento'!D37</f>
        <v>Sistema di alimentazione e sezionamento</v>
      </c>
      <c r="E29" s="71" t="s">
        <v>480</v>
      </c>
      <c r="F29" s="31">
        <v>0</v>
      </c>
      <c r="G29" s="31">
        <v>0</v>
      </c>
      <c r="H29" s="31">
        <v>0</v>
      </c>
      <c r="I29" s="31">
        <v>0</v>
      </c>
      <c r="J29" s="7"/>
      <c r="K29" s="7"/>
      <c r="L29" s="7"/>
      <c r="M29" s="7"/>
      <c r="N29" s="7"/>
      <c r="O29" s="7"/>
      <c r="P29" s="142"/>
      <c r="Q29" s="142"/>
      <c r="R29" s="142"/>
      <c r="S29" s="142"/>
      <c r="T29" s="142"/>
      <c r="U29" s="142"/>
      <c r="V29" s="35"/>
      <c r="W29" s="35"/>
      <c r="X29" s="141"/>
      <c r="Y29" s="35"/>
      <c r="Z29" s="35"/>
      <c r="AA29" s="35"/>
      <c r="AB29" s="35"/>
      <c r="AC29" s="35"/>
      <c r="AE29" s="9"/>
      <c r="AF29" s="9"/>
      <c r="AG29" s="9"/>
      <c r="AH29" s="9"/>
      <c r="AI29" s="9"/>
      <c r="AJ29" s="9"/>
    </row>
    <row r="30" spans="2:36" ht="13.5" customHeight="1" x14ac:dyDescent="0.25">
      <c r="B30" s="289"/>
      <c r="C30" s="55" t="s">
        <v>274</v>
      </c>
      <c r="D30" s="50" t="str">
        <f>+'3.4 Costi d''Investimento'!D38</f>
        <v>Linea di contatto</v>
      </c>
      <c r="E30" s="71" t="s">
        <v>480</v>
      </c>
      <c r="F30" s="31">
        <v>0</v>
      </c>
      <c r="G30" s="31">
        <v>0</v>
      </c>
      <c r="H30" s="31">
        <v>0</v>
      </c>
      <c r="I30" s="31">
        <v>0</v>
      </c>
      <c r="J30" s="7"/>
      <c r="K30" s="7"/>
      <c r="L30" s="7"/>
      <c r="M30" s="7"/>
      <c r="N30" s="7"/>
      <c r="O30" s="7"/>
      <c r="P30" s="142"/>
      <c r="Q30" s="142"/>
      <c r="R30" s="142"/>
      <c r="S30" s="142"/>
      <c r="T30" s="142"/>
      <c r="U30" s="142"/>
      <c r="V30" s="35"/>
      <c r="W30" s="35"/>
      <c r="X30" s="141"/>
      <c r="Y30" s="35"/>
      <c r="Z30" s="35"/>
      <c r="AA30" s="35"/>
      <c r="AB30" s="35"/>
      <c r="AC30" s="35"/>
      <c r="AE30" s="9"/>
      <c r="AF30" s="9"/>
      <c r="AG30" s="9"/>
      <c r="AH30" s="9"/>
      <c r="AI30" s="9"/>
      <c r="AJ30" s="9"/>
    </row>
    <row r="31" spans="2:36" ht="13.5" customHeight="1" x14ac:dyDescent="0.25">
      <c r="B31" s="289"/>
      <c r="C31" s="55" t="s">
        <v>275</v>
      </c>
      <c r="D31" s="50" t="str">
        <f>+'3.4 Costi d''Investimento'!D39</f>
        <v>Sistema di automazione (SCADA)</v>
      </c>
      <c r="E31" s="71" t="s">
        <v>480</v>
      </c>
      <c r="F31" s="31">
        <v>0</v>
      </c>
      <c r="G31" s="31">
        <v>0</v>
      </c>
      <c r="H31" s="31">
        <v>0</v>
      </c>
      <c r="I31" s="31">
        <v>0</v>
      </c>
      <c r="J31" s="7"/>
      <c r="K31" s="7"/>
      <c r="L31" s="7"/>
      <c r="M31" s="7"/>
      <c r="N31" s="7"/>
      <c r="O31" s="7"/>
      <c r="P31" s="142"/>
      <c r="Q31" s="142"/>
      <c r="R31" s="142"/>
      <c r="S31" s="142"/>
      <c r="T31" s="142"/>
      <c r="U31" s="142"/>
      <c r="V31" s="35"/>
      <c r="W31" s="35"/>
      <c r="X31" s="141"/>
      <c r="Y31" s="35"/>
      <c r="Z31" s="35"/>
      <c r="AA31" s="35"/>
      <c r="AB31" s="35"/>
      <c r="AC31" s="35"/>
      <c r="AE31" s="9"/>
      <c r="AF31" s="9"/>
      <c r="AG31" s="9"/>
      <c r="AH31" s="9"/>
      <c r="AI31" s="9"/>
      <c r="AJ31" s="9"/>
    </row>
    <row r="32" spans="2:36" ht="13.5" customHeight="1" x14ac:dyDescent="0.25">
      <c r="B32" s="289"/>
      <c r="C32" s="55" t="s">
        <v>276</v>
      </c>
      <c r="D32" s="50" t="str">
        <f>+'3.4 Costi d''Investimento'!D40</f>
        <v>Segnalamento, telecomunicazioni T/B e sistemi di gestione esercizio</v>
      </c>
      <c r="E32" s="71" t="s">
        <v>480</v>
      </c>
      <c r="F32" s="31">
        <v>0</v>
      </c>
      <c r="G32" s="31">
        <v>0</v>
      </c>
      <c r="H32" s="31">
        <v>0</v>
      </c>
      <c r="I32" s="31">
        <v>0</v>
      </c>
      <c r="J32" s="7"/>
      <c r="K32" s="7"/>
      <c r="L32" s="7"/>
      <c r="M32" s="7"/>
      <c r="N32" s="7"/>
      <c r="O32" s="7"/>
      <c r="P32" s="142"/>
      <c r="Q32" s="142"/>
      <c r="R32" s="142"/>
      <c r="S32" s="142"/>
      <c r="T32" s="142"/>
      <c r="U32" s="142"/>
      <c r="V32" s="35"/>
      <c r="W32" s="35"/>
      <c r="X32" s="141">
        <v>1400000</v>
      </c>
      <c r="Y32" s="35"/>
      <c r="Z32" s="35"/>
      <c r="AA32" s="35"/>
      <c r="AB32" s="35"/>
      <c r="AC32" s="35"/>
      <c r="AE32" s="214"/>
      <c r="AF32" s="214" t="s">
        <v>707</v>
      </c>
      <c r="AG32" s="214"/>
      <c r="AH32" s="214"/>
      <c r="AI32" s="214"/>
      <c r="AJ32" s="214"/>
    </row>
    <row r="33" spans="2:36" ht="13.5" customHeight="1" x14ac:dyDescent="0.25">
      <c r="B33" s="289"/>
      <c r="C33" s="55" t="s">
        <v>277</v>
      </c>
      <c r="D33" s="50" t="str">
        <f>+'3.4 Costi d''Investimento'!D41</f>
        <v xml:space="preserve">Deposito </v>
      </c>
      <c r="E33" s="71" t="s">
        <v>480</v>
      </c>
      <c r="F33" s="31">
        <v>0</v>
      </c>
      <c r="G33" s="31">
        <v>0</v>
      </c>
      <c r="H33" s="31">
        <v>0</v>
      </c>
      <c r="I33" s="31">
        <v>0</v>
      </c>
      <c r="J33" s="7"/>
      <c r="K33" s="7"/>
      <c r="L33" s="7"/>
      <c r="M33" s="7"/>
      <c r="N33" s="7"/>
      <c r="O33" s="7"/>
      <c r="P33" s="142"/>
      <c r="Q33" s="142"/>
      <c r="R33" s="142"/>
      <c r="S33" s="142"/>
      <c r="T33" s="142"/>
      <c r="U33" s="142"/>
      <c r="V33" s="35"/>
      <c r="W33" s="35"/>
      <c r="X33" s="141">
        <v>250000</v>
      </c>
      <c r="Y33" s="35"/>
      <c r="Z33" s="35"/>
      <c r="AA33" s="35"/>
      <c r="AB33" s="35"/>
      <c r="AC33" s="35"/>
      <c r="AE33" s="214"/>
      <c r="AF33" s="214" t="s">
        <v>708</v>
      </c>
      <c r="AG33" s="214"/>
      <c r="AH33" s="214"/>
      <c r="AI33" s="214"/>
      <c r="AJ33" s="214"/>
    </row>
    <row r="34" spans="2:36" ht="13.5" customHeight="1" x14ac:dyDescent="0.25">
      <c r="B34" s="289"/>
      <c r="C34" s="55" t="s">
        <v>278</v>
      </c>
      <c r="D34" s="50" t="str">
        <f>+'3.4 Costi d''Investimento'!D42</f>
        <v>Altro</v>
      </c>
      <c r="E34" s="71" t="s">
        <v>480</v>
      </c>
      <c r="F34" s="31">
        <v>0</v>
      </c>
      <c r="G34" s="31">
        <v>0</v>
      </c>
      <c r="H34" s="31">
        <v>0</v>
      </c>
      <c r="I34" s="31">
        <v>0</v>
      </c>
      <c r="J34" s="7"/>
      <c r="K34" s="7"/>
      <c r="L34" s="7"/>
      <c r="M34" s="7"/>
      <c r="N34" s="7"/>
      <c r="O34" s="7"/>
      <c r="P34" s="142"/>
      <c r="Q34" s="141">
        <v>2000000</v>
      </c>
      <c r="R34" s="141"/>
      <c r="S34" s="141"/>
      <c r="T34" s="141"/>
      <c r="U34" s="141"/>
      <c r="V34" s="141"/>
      <c r="W34" s="141"/>
      <c r="X34" s="141">
        <v>3000000</v>
      </c>
      <c r="Y34" s="35"/>
      <c r="Z34" s="35"/>
      <c r="AA34" s="35"/>
      <c r="AB34" s="35"/>
      <c r="AC34" s="35"/>
      <c r="AE34" s="214" t="s">
        <v>750</v>
      </c>
      <c r="AF34" s="298" t="s">
        <v>714</v>
      </c>
      <c r="AG34" s="298"/>
      <c r="AH34" s="298"/>
      <c r="AI34" s="298"/>
      <c r="AJ34" s="298"/>
    </row>
    <row r="35" spans="2:36" ht="13.5" customHeight="1" x14ac:dyDescent="0.25">
      <c r="B35" s="289"/>
      <c r="C35" s="55" t="s">
        <v>479</v>
      </c>
      <c r="D35" s="50" t="str">
        <f>+'3.4 Costi d''Investimento'!D44</f>
        <v>Materiale rotabile (filobus)</v>
      </c>
      <c r="E35" s="71" t="s">
        <v>480</v>
      </c>
      <c r="F35" s="31">
        <v>0</v>
      </c>
      <c r="G35" s="31">
        <v>0</v>
      </c>
      <c r="H35" s="31">
        <v>0</v>
      </c>
      <c r="I35" s="31">
        <v>0</v>
      </c>
      <c r="J35" s="7"/>
      <c r="K35" s="7"/>
      <c r="L35" s="7"/>
      <c r="M35" s="7"/>
      <c r="N35" s="7"/>
      <c r="O35" s="7"/>
      <c r="P35" s="142"/>
      <c r="Q35" s="141"/>
      <c r="R35" s="141"/>
      <c r="S35" s="141"/>
      <c r="T35" s="141"/>
      <c r="U35" s="141"/>
      <c r="V35" s="141"/>
      <c r="W35" s="141"/>
      <c r="X35" s="141"/>
      <c r="Y35" s="35"/>
      <c r="Z35" s="35"/>
      <c r="AA35" s="35"/>
      <c r="AB35" s="35"/>
      <c r="AC35" s="35"/>
      <c r="AE35" s="214"/>
      <c r="AF35" s="214"/>
      <c r="AG35" s="214"/>
      <c r="AH35" s="214"/>
      <c r="AI35" s="214"/>
      <c r="AJ35" s="214"/>
    </row>
    <row r="36" spans="2:36" ht="13.5" customHeight="1" x14ac:dyDescent="0.25">
      <c r="B36" s="289"/>
      <c r="C36" s="55" t="s">
        <v>563</v>
      </c>
      <c r="D36" s="50" t="str">
        <f>+'3.4 Costi d''Investimento'!D45</f>
        <v>Materiale rotabile (tram/metro)  (*)</v>
      </c>
      <c r="E36" s="71" t="s">
        <v>480</v>
      </c>
      <c r="F36" s="31">
        <v>0</v>
      </c>
      <c r="G36" s="31">
        <v>0</v>
      </c>
      <c r="H36" s="31">
        <v>0</v>
      </c>
      <c r="I36" s="31">
        <v>0</v>
      </c>
      <c r="J36" s="7"/>
      <c r="K36" s="7"/>
      <c r="L36" s="7"/>
      <c r="M36" s="7"/>
      <c r="N36" s="7"/>
      <c r="O36" s="7"/>
      <c r="P36" s="142"/>
      <c r="Q36" s="141"/>
      <c r="R36" s="141"/>
      <c r="S36" s="141"/>
      <c r="T36" s="141"/>
      <c r="U36" s="141"/>
      <c r="V36" s="141"/>
      <c r="W36" s="141"/>
      <c r="X36" s="141"/>
      <c r="Y36" s="35"/>
      <c r="Z36" s="35"/>
      <c r="AA36" s="35"/>
      <c r="AB36" s="35"/>
      <c r="AC36" s="35"/>
      <c r="AE36" s="214"/>
      <c r="AF36" s="214"/>
      <c r="AG36" s="214"/>
      <c r="AH36" s="214"/>
      <c r="AI36" s="214"/>
      <c r="AJ36" s="214"/>
    </row>
    <row r="37" spans="2:36" ht="13.5" customHeight="1" x14ac:dyDescent="0.25">
      <c r="B37" s="289"/>
      <c r="C37" s="55" t="s">
        <v>579</v>
      </c>
      <c r="D37" s="50" t="str">
        <f>+'3.4 Costi d''Investimento'!D46</f>
        <v>Materiale rotabile (altro TPL)</v>
      </c>
      <c r="E37" s="71" t="s">
        <v>480</v>
      </c>
      <c r="F37" s="31">
        <v>0</v>
      </c>
      <c r="G37" s="31">
        <v>0</v>
      </c>
      <c r="H37" s="31">
        <v>0</v>
      </c>
      <c r="I37" s="31">
        <v>0</v>
      </c>
      <c r="J37" s="7"/>
      <c r="K37" s="7"/>
      <c r="L37" s="7"/>
      <c r="M37" s="7"/>
      <c r="N37" s="7"/>
      <c r="O37" s="7"/>
      <c r="P37" s="142"/>
      <c r="Q37" s="141">
        <v>100000</v>
      </c>
      <c r="R37" s="141"/>
      <c r="S37" s="141"/>
      <c r="T37" s="141"/>
      <c r="U37" s="141"/>
      <c r="V37" s="141"/>
      <c r="W37" s="141"/>
      <c r="X37" s="141">
        <v>210000</v>
      </c>
      <c r="Y37" s="35"/>
      <c r="Z37" s="35"/>
      <c r="AA37" s="35"/>
      <c r="AB37" s="35"/>
      <c r="AC37" s="35"/>
      <c r="AE37" s="214"/>
      <c r="AF37" s="298" t="s">
        <v>714</v>
      </c>
      <c r="AG37" s="298"/>
      <c r="AH37" s="298"/>
      <c r="AI37" s="298"/>
      <c r="AJ37" s="298"/>
    </row>
    <row r="38" spans="2:36" ht="13.5" customHeight="1" x14ac:dyDescent="0.25">
      <c r="B38" s="290"/>
      <c r="C38" s="59" t="s">
        <v>138</v>
      </c>
      <c r="D38" s="52" t="s">
        <v>139</v>
      </c>
      <c r="E38" s="74" t="s">
        <v>615</v>
      </c>
      <c r="F38" s="60">
        <v>0</v>
      </c>
      <c r="G38" s="60">
        <v>0</v>
      </c>
      <c r="H38" s="60">
        <v>0</v>
      </c>
      <c r="I38" s="60">
        <v>0</v>
      </c>
      <c r="J38" s="91">
        <f t="shared" ref="J38:W38" si="0">SUM(J8:J37)</f>
        <v>0</v>
      </c>
      <c r="K38" s="91">
        <f t="shared" si="0"/>
        <v>0</v>
      </c>
      <c r="L38" s="91">
        <f t="shared" si="0"/>
        <v>0</v>
      </c>
      <c r="M38" s="91">
        <f t="shared" si="0"/>
        <v>0</v>
      </c>
      <c r="N38" s="91">
        <f t="shared" si="0"/>
        <v>0</v>
      </c>
      <c r="O38" s="91">
        <f t="shared" si="0"/>
        <v>0</v>
      </c>
      <c r="P38" s="91">
        <f t="shared" si="0"/>
        <v>0</v>
      </c>
      <c r="Q38" s="91">
        <f t="shared" si="0"/>
        <v>2100000</v>
      </c>
      <c r="R38" s="91">
        <f t="shared" si="0"/>
        <v>0</v>
      </c>
      <c r="S38" s="91">
        <f t="shared" si="0"/>
        <v>0</v>
      </c>
      <c r="T38" s="91">
        <f t="shared" si="0"/>
        <v>0</v>
      </c>
      <c r="U38" s="91">
        <f t="shared" si="0"/>
        <v>0</v>
      </c>
      <c r="V38" s="91">
        <f t="shared" si="0"/>
        <v>0</v>
      </c>
      <c r="W38" s="91">
        <f t="shared" si="0"/>
        <v>0</v>
      </c>
      <c r="X38" s="91">
        <f t="shared" ref="X38:AC38" si="1">SUM(X8:X37)</f>
        <v>6733000</v>
      </c>
      <c r="Y38" s="91"/>
      <c r="Z38" s="91"/>
      <c r="AA38" s="91"/>
      <c r="AB38" s="91">
        <f t="shared" si="1"/>
        <v>0</v>
      </c>
      <c r="AC38" s="91">
        <f t="shared" si="1"/>
        <v>0</v>
      </c>
      <c r="AE38" s="214"/>
      <c r="AF38" s="214"/>
      <c r="AG38" s="214"/>
      <c r="AH38" s="214" t="s">
        <v>659</v>
      </c>
      <c r="AI38" s="214"/>
      <c r="AJ38" s="214" t="s">
        <v>660</v>
      </c>
    </row>
    <row r="39" spans="2:36" ht="4.5" customHeight="1" x14ac:dyDescent="0.25">
      <c r="AE39" s="214"/>
      <c r="AF39" s="214"/>
      <c r="AG39" s="214"/>
      <c r="AH39" s="214"/>
      <c r="AI39" s="214"/>
      <c r="AJ39" s="214"/>
    </row>
    <row r="40" spans="2:36" ht="13.5" customHeight="1" x14ac:dyDescent="0.25">
      <c r="B40" s="300" t="s">
        <v>140</v>
      </c>
      <c r="C40" s="55" t="s">
        <v>141</v>
      </c>
      <c r="D40" s="50" t="str">
        <f>+D8</f>
        <v>Risoluzione interferenze pubblici servizi</v>
      </c>
      <c r="E40" s="71" t="s">
        <v>480</v>
      </c>
      <c r="F40" s="31">
        <v>0</v>
      </c>
      <c r="G40" s="32">
        <v>0</v>
      </c>
      <c r="H40" s="32">
        <v>0</v>
      </c>
      <c r="I40" s="91">
        <f>+'3.4 Costi d''Investimento'!F15</f>
        <v>0</v>
      </c>
      <c r="J40" s="140">
        <f t="shared" ref="J40:AC40" si="2">I40-$I$40/$AH$40+J8</f>
        <v>0</v>
      </c>
      <c r="K40" s="140">
        <f t="shared" si="2"/>
        <v>0</v>
      </c>
      <c r="L40" s="140">
        <f t="shared" si="2"/>
        <v>0</v>
      </c>
      <c r="M40" s="140">
        <f t="shared" si="2"/>
        <v>0</v>
      </c>
      <c r="N40" s="140">
        <f t="shared" si="2"/>
        <v>0</v>
      </c>
      <c r="O40" s="140">
        <f t="shared" si="2"/>
        <v>0</v>
      </c>
      <c r="P40" s="140">
        <f t="shared" si="2"/>
        <v>0</v>
      </c>
      <c r="Q40" s="140">
        <f t="shared" si="2"/>
        <v>0</v>
      </c>
      <c r="R40" s="140">
        <f t="shared" si="2"/>
        <v>0</v>
      </c>
      <c r="S40" s="140">
        <f t="shared" si="2"/>
        <v>0</v>
      </c>
      <c r="T40" s="140">
        <f t="shared" si="2"/>
        <v>0</v>
      </c>
      <c r="U40" s="140">
        <f t="shared" si="2"/>
        <v>0</v>
      </c>
      <c r="V40" s="140">
        <f t="shared" si="2"/>
        <v>0</v>
      </c>
      <c r="W40" s="140">
        <f t="shared" si="2"/>
        <v>0</v>
      </c>
      <c r="X40" s="140">
        <f t="shared" si="2"/>
        <v>0</v>
      </c>
      <c r="Y40" s="140">
        <f t="shared" si="2"/>
        <v>0</v>
      </c>
      <c r="Z40" s="140">
        <f t="shared" si="2"/>
        <v>0</v>
      </c>
      <c r="AA40" s="140">
        <f t="shared" si="2"/>
        <v>0</v>
      </c>
      <c r="AB40" s="140">
        <f t="shared" si="2"/>
        <v>0</v>
      </c>
      <c r="AC40" s="140">
        <f t="shared" si="2"/>
        <v>0</v>
      </c>
      <c r="AE40" s="214"/>
      <c r="AF40" s="214"/>
      <c r="AG40" s="214"/>
      <c r="AH40" s="241">
        <v>50</v>
      </c>
      <c r="AI40" s="214"/>
      <c r="AJ40" s="214"/>
    </row>
    <row r="41" spans="2:36" ht="13.5" customHeight="1" x14ac:dyDescent="0.25">
      <c r="B41" s="301"/>
      <c r="C41" s="55" t="s">
        <v>142</v>
      </c>
      <c r="D41" s="50" t="str">
        <f t="shared" ref="D41:D69" si="3">+D9</f>
        <v>Gallerie di linea e stazioni</v>
      </c>
      <c r="E41" s="71" t="s">
        <v>480</v>
      </c>
      <c r="F41" s="31">
        <v>0</v>
      </c>
      <c r="G41" s="32">
        <v>0</v>
      </c>
      <c r="H41" s="32">
        <v>0</v>
      </c>
      <c r="I41" s="91">
        <f>+'3.4 Costi d''Investimento'!F16</f>
        <v>0</v>
      </c>
      <c r="J41" s="7"/>
      <c r="K41" s="7"/>
      <c r="L41" s="7"/>
      <c r="M41" s="7"/>
      <c r="N41" s="7"/>
      <c r="O41" s="7"/>
      <c r="P41" s="7"/>
      <c r="Q41" s="7"/>
      <c r="R41" s="7"/>
      <c r="S41" s="7"/>
      <c r="T41" s="7"/>
      <c r="U41" s="7"/>
      <c r="V41" s="7"/>
      <c r="W41" s="7"/>
      <c r="X41" s="7"/>
      <c r="Y41" s="7"/>
      <c r="Z41" s="7"/>
      <c r="AA41" s="7"/>
      <c r="AB41" s="7"/>
      <c r="AC41" s="7"/>
      <c r="AE41" s="214"/>
      <c r="AF41" s="214"/>
      <c r="AG41" s="214"/>
      <c r="AH41" s="241">
        <v>75</v>
      </c>
      <c r="AI41" s="214"/>
      <c r="AJ41" s="214"/>
    </row>
    <row r="42" spans="2:36" ht="13.5" customHeight="1" x14ac:dyDescent="0.25">
      <c r="B42" s="289"/>
      <c r="C42" s="55" t="s">
        <v>143</v>
      </c>
      <c r="D42" s="50" t="str">
        <f t="shared" si="3"/>
        <v>Pozzi e manufatti di inter-tratta</v>
      </c>
      <c r="E42" s="71" t="s">
        <v>480</v>
      </c>
      <c r="F42" s="31">
        <v>0</v>
      </c>
      <c r="G42" s="32">
        <v>0</v>
      </c>
      <c r="H42" s="32">
        <v>0</v>
      </c>
      <c r="I42" s="91">
        <f>+'3.4 Costi d''Investimento'!F17</f>
        <v>0</v>
      </c>
      <c r="J42" s="7"/>
      <c r="K42" s="7"/>
      <c r="L42" s="7"/>
      <c r="M42" s="7"/>
      <c r="N42" s="7"/>
      <c r="O42" s="7"/>
      <c r="P42" s="7"/>
      <c r="Q42" s="7"/>
      <c r="R42" s="7"/>
      <c r="S42" s="7"/>
      <c r="T42" s="7"/>
      <c r="U42" s="7"/>
      <c r="V42" s="7"/>
      <c r="W42" s="7"/>
      <c r="X42" s="7"/>
      <c r="Y42" s="7"/>
      <c r="Z42" s="7"/>
      <c r="AA42" s="7"/>
      <c r="AB42" s="7"/>
      <c r="AC42" s="7"/>
      <c r="AE42" s="214"/>
      <c r="AF42" s="214"/>
      <c r="AG42" s="214"/>
      <c r="AH42" s="242">
        <v>75</v>
      </c>
      <c r="AI42" s="214"/>
      <c r="AJ42" s="214"/>
    </row>
    <row r="43" spans="2:36" ht="13.5" customHeight="1" x14ac:dyDescent="0.25">
      <c r="B43" s="289"/>
      <c r="C43" s="55" t="s">
        <v>144</v>
      </c>
      <c r="D43" s="50" t="str">
        <f t="shared" si="3"/>
        <v>Ponti</v>
      </c>
      <c r="E43" s="71" t="s">
        <v>480</v>
      </c>
      <c r="F43" s="31">
        <v>0</v>
      </c>
      <c r="G43" s="32">
        <v>0</v>
      </c>
      <c r="H43" s="32">
        <v>0</v>
      </c>
      <c r="I43" s="91">
        <f>+'3.4 Costi d''Investimento'!F18</f>
        <v>0</v>
      </c>
      <c r="J43" s="7"/>
      <c r="K43" s="7"/>
      <c r="L43" s="7"/>
      <c r="M43" s="7"/>
      <c r="N43" s="7"/>
      <c r="O43" s="7"/>
      <c r="P43" s="7"/>
      <c r="Q43" s="7"/>
      <c r="R43" s="7"/>
      <c r="S43" s="7"/>
      <c r="T43" s="7"/>
      <c r="U43" s="7"/>
      <c r="V43" s="7"/>
      <c r="W43" s="7"/>
      <c r="X43" s="7"/>
      <c r="Y43" s="7"/>
      <c r="Z43" s="7"/>
      <c r="AA43" s="7"/>
      <c r="AB43" s="7"/>
      <c r="AC43" s="7"/>
      <c r="AE43" s="214"/>
      <c r="AF43" s="214"/>
      <c r="AG43" s="214"/>
      <c r="AH43" s="242">
        <v>75</v>
      </c>
      <c r="AI43" s="214"/>
      <c r="AJ43" s="214"/>
    </row>
    <row r="44" spans="2:36" ht="13.5" customHeight="1" x14ac:dyDescent="0.25">
      <c r="B44" s="289"/>
      <c r="C44" s="55" t="s">
        <v>145</v>
      </c>
      <c r="D44" s="50" t="str">
        <f t="shared" si="3"/>
        <v>Edifici diversi da stazioni e deposito (opere al rustico e finiture)</v>
      </c>
      <c r="E44" s="71" t="s">
        <v>480</v>
      </c>
      <c r="F44" s="31">
        <v>0</v>
      </c>
      <c r="G44" s="32">
        <v>0</v>
      </c>
      <c r="H44" s="32">
        <v>0</v>
      </c>
      <c r="I44" s="91">
        <f>+'3.4 Costi d''Investimento'!F19</f>
        <v>3100000</v>
      </c>
      <c r="J44" s="140">
        <f t="shared" ref="J44:AC44" si="4">I44-$I$44/$AH$44+J12</f>
        <v>3038000</v>
      </c>
      <c r="K44" s="140">
        <f t="shared" si="4"/>
        <v>2976000</v>
      </c>
      <c r="L44" s="140">
        <f t="shared" si="4"/>
        <v>2914000</v>
      </c>
      <c r="M44" s="140">
        <f t="shared" si="4"/>
        <v>2852000</v>
      </c>
      <c r="N44" s="140">
        <f t="shared" si="4"/>
        <v>2790000</v>
      </c>
      <c r="O44" s="140">
        <f t="shared" si="4"/>
        <v>2728000</v>
      </c>
      <c r="P44" s="140">
        <f t="shared" si="4"/>
        <v>2666000</v>
      </c>
      <c r="Q44" s="140">
        <f t="shared" si="4"/>
        <v>2604000</v>
      </c>
      <c r="R44" s="140">
        <f t="shared" si="4"/>
        <v>2542000</v>
      </c>
      <c r="S44" s="140">
        <f t="shared" si="4"/>
        <v>2480000</v>
      </c>
      <c r="T44" s="140">
        <f t="shared" si="4"/>
        <v>2418000</v>
      </c>
      <c r="U44" s="140">
        <f t="shared" si="4"/>
        <v>2356000</v>
      </c>
      <c r="V44" s="140">
        <f t="shared" si="4"/>
        <v>2294000</v>
      </c>
      <c r="W44" s="140">
        <f t="shared" si="4"/>
        <v>2232000</v>
      </c>
      <c r="X44" s="140">
        <f t="shared" si="4"/>
        <v>2170000</v>
      </c>
      <c r="Y44" s="140">
        <f t="shared" si="4"/>
        <v>2108000</v>
      </c>
      <c r="Z44" s="140">
        <f t="shared" si="4"/>
        <v>2046000</v>
      </c>
      <c r="AA44" s="140">
        <f t="shared" si="4"/>
        <v>1984000</v>
      </c>
      <c r="AB44" s="140">
        <f t="shared" si="4"/>
        <v>1922000</v>
      </c>
      <c r="AC44" s="140">
        <f t="shared" si="4"/>
        <v>1860000</v>
      </c>
      <c r="AE44" s="214"/>
      <c r="AF44" s="214"/>
      <c r="AG44" s="214"/>
      <c r="AH44" s="242">
        <v>50</v>
      </c>
      <c r="AI44" s="214"/>
      <c r="AJ44" s="214"/>
    </row>
    <row r="45" spans="2:36" ht="13.5" customHeight="1" x14ac:dyDescent="0.25">
      <c r="B45" s="289"/>
      <c r="C45" s="55" t="s">
        <v>146</v>
      </c>
      <c r="D45" s="50" t="str">
        <f t="shared" si="3"/>
        <v>Piattaforma sede ferroviaria o stradale</v>
      </c>
      <c r="E45" s="71" t="s">
        <v>480</v>
      </c>
      <c r="F45" s="31">
        <v>0</v>
      </c>
      <c r="G45" s="32">
        <v>0</v>
      </c>
      <c r="H45" s="32">
        <v>0</v>
      </c>
      <c r="I45" s="91">
        <f>+'3.4 Costi d''Investimento'!F20</f>
        <v>955500</v>
      </c>
      <c r="J45" s="140">
        <f t="shared" ref="J45:AC45" si="5">I45-$I$45/$AH$45+J13</f>
        <v>928200</v>
      </c>
      <c r="K45" s="140">
        <f t="shared" si="5"/>
        <v>900900</v>
      </c>
      <c r="L45" s="140">
        <f t="shared" si="5"/>
        <v>873600</v>
      </c>
      <c r="M45" s="140">
        <f t="shared" si="5"/>
        <v>846300</v>
      </c>
      <c r="N45" s="140">
        <f t="shared" si="5"/>
        <v>819000</v>
      </c>
      <c r="O45" s="140">
        <f t="shared" si="5"/>
        <v>791700</v>
      </c>
      <c r="P45" s="140">
        <f t="shared" si="5"/>
        <v>764400</v>
      </c>
      <c r="Q45" s="140">
        <f t="shared" si="5"/>
        <v>737100</v>
      </c>
      <c r="R45" s="140">
        <f t="shared" si="5"/>
        <v>709800</v>
      </c>
      <c r="S45" s="140">
        <f t="shared" si="5"/>
        <v>682500</v>
      </c>
      <c r="T45" s="140">
        <f t="shared" si="5"/>
        <v>655200</v>
      </c>
      <c r="U45" s="140">
        <f t="shared" si="5"/>
        <v>627900</v>
      </c>
      <c r="V45" s="140">
        <f t="shared" si="5"/>
        <v>600600</v>
      </c>
      <c r="W45" s="140">
        <f t="shared" si="5"/>
        <v>573300</v>
      </c>
      <c r="X45" s="140">
        <f t="shared" si="5"/>
        <v>546000</v>
      </c>
      <c r="Y45" s="140">
        <f t="shared" si="5"/>
        <v>518700</v>
      </c>
      <c r="Z45" s="140">
        <f t="shared" si="5"/>
        <v>491400</v>
      </c>
      <c r="AA45" s="140">
        <f t="shared" si="5"/>
        <v>464100</v>
      </c>
      <c r="AB45" s="140">
        <f t="shared" si="5"/>
        <v>436800</v>
      </c>
      <c r="AC45" s="140">
        <f t="shared" si="5"/>
        <v>409500</v>
      </c>
      <c r="AE45" s="214"/>
      <c r="AF45" s="214"/>
      <c r="AG45" s="214"/>
      <c r="AH45" s="243">
        <v>35</v>
      </c>
      <c r="AI45" s="214"/>
      <c r="AJ45" s="214"/>
    </row>
    <row r="46" spans="2:36" ht="13.5" customHeight="1" x14ac:dyDescent="0.25">
      <c r="B46" s="289"/>
      <c r="C46" s="55" t="s">
        <v>147</v>
      </c>
      <c r="D46" s="50" t="str">
        <f t="shared" si="3"/>
        <v>Sovrastruttura ferroviaira/tramviaria</v>
      </c>
      <c r="E46" s="71" t="s">
        <v>480</v>
      </c>
      <c r="F46" s="31">
        <v>0</v>
      </c>
      <c r="G46" s="32">
        <v>0</v>
      </c>
      <c r="H46" s="32">
        <v>0</v>
      </c>
      <c r="I46" s="91">
        <f>+'3.4 Costi d''Investimento'!F21</f>
        <v>0</v>
      </c>
      <c r="J46" s="140"/>
      <c r="K46" s="140"/>
      <c r="L46" s="140"/>
      <c r="M46" s="140"/>
      <c r="N46" s="140"/>
      <c r="O46" s="140"/>
      <c r="P46" s="140"/>
      <c r="Q46" s="140"/>
      <c r="R46" s="140"/>
      <c r="S46" s="140"/>
      <c r="T46" s="140"/>
      <c r="U46" s="140"/>
      <c r="V46" s="140"/>
      <c r="W46" s="140"/>
      <c r="X46" s="140"/>
      <c r="Y46" s="140"/>
      <c r="Z46" s="140"/>
      <c r="AA46" s="140"/>
      <c r="AB46" s="140"/>
      <c r="AC46" s="140"/>
      <c r="AE46" s="214"/>
      <c r="AF46" s="214"/>
      <c r="AG46" s="214"/>
      <c r="AH46" s="243">
        <v>25</v>
      </c>
      <c r="AI46" s="214"/>
      <c r="AJ46" s="214"/>
    </row>
    <row r="47" spans="2:36" ht="13.5" customHeight="1" x14ac:dyDescent="0.25">
      <c r="B47" s="289"/>
      <c r="C47" s="55" t="s">
        <v>148</v>
      </c>
      <c r="D47" s="50" t="str">
        <f t="shared" si="3"/>
        <v>Sovrastruttura stradale dedicata</v>
      </c>
      <c r="E47" s="71" t="s">
        <v>480</v>
      </c>
      <c r="F47" s="31">
        <v>0</v>
      </c>
      <c r="G47" s="32">
        <v>0</v>
      </c>
      <c r="H47" s="32">
        <v>0</v>
      </c>
      <c r="I47" s="91">
        <f>+'3.4 Costi d''Investimento'!F22</f>
        <v>0</v>
      </c>
      <c r="J47" s="140">
        <f t="shared" ref="J47:AC47" si="6">I47-$I$47/$AH$47+J15</f>
        <v>0</v>
      </c>
      <c r="K47" s="140">
        <f t="shared" si="6"/>
        <v>0</v>
      </c>
      <c r="L47" s="140">
        <f t="shared" si="6"/>
        <v>0</v>
      </c>
      <c r="M47" s="140">
        <f t="shared" si="6"/>
        <v>0</v>
      </c>
      <c r="N47" s="140">
        <f t="shared" si="6"/>
        <v>0</v>
      </c>
      <c r="O47" s="140">
        <f t="shared" si="6"/>
        <v>0</v>
      </c>
      <c r="P47" s="140">
        <f t="shared" si="6"/>
        <v>0</v>
      </c>
      <c r="Q47" s="140">
        <f t="shared" si="6"/>
        <v>0</v>
      </c>
      <c r="R47" s="140">
        <f t="shared" si="6"/>
        <v>0</v>
      </c>
      <c r="S47" s="140">
        <f t="shared" si="6"/>
        <v>0</v>
      </c>
      <c r="T47" s="140">
        <f t="shared" si="6"/>
        <v>0</v>
      </c>
      <c r="U47" s="140">
        <f t="shared" si="6"/>
        <v>0</v>
      </c>
      <c r="V47" s="140">
        <f t="shared" si="6"/>
        <v>0</v>
      </c>
      <c r="W47" s="140">
        <f t="shared" si="6"/>
        <v>0</v>
      </c>
      <c r="X47" s="140">
        <f t="shared" si="6"/>
        <v>0</v>
      </c>
      <c r="Y47" s="140">
        <f t="shared" si="6"/>
        <v>0</v>
      </c>
      <c r="Z47" s="140">
        <f t="shared" si="6"/>
        <v>0</v>
      </c>
      <c r="AA47" s="140">
        <f t="shared" si="6"/>
        <v>0</v>
      </c>
      <c r="AB47" s="140">
        <f t="shared" si="6"/>
        <v>0</v>
      </c>
      <c r="AC47" s="140">
        <f t="shared" si="6"/>
        <v>0</v>
      </c>
      <c r="AE47" s="214"/>
      <c r="AF47" s="214"/>
      <c r="AG47" s="214"/>
      <c r="AH47" s="241">
        <v>20</v>
      </c>
      <c r="AI47" s="214"/>
      <c r="AJ47" s="214"/>
    </row>
    <row r="48" spans="2:36" ht="13.5" customHeight="1" x14ac:dyDescent="0.25">
      <c r="B48" s="289"/>
      <c r="C48" s="55" t="s">
        <v>149</v>
      </c>
      <c r="D48" s="50" t="str">
        <f t="shared" si="3"/>
        <v>Stazioni/fermate tram o filobus</v>
      </c>
      <c r="E48" s="71" t="s">
        <v>480</v>
      </c>
      <c r="F48" s="31">
        <v>0</v>
      </c>
      <c r="G48" s="32">
        <v>0</v>
      </c>
      <c r="H48" s="32">
        <v>0</v>
      </c>
      <c r="I48" s="91">
        <f>+'3.4 Costi d''Investimento'!F23</f>
        <v>0</v>
      </c>
      <c r="J48" s="140"/>
      <c r="K48" s="140"/>
      <c r="L48" s="140"/>
      <c r="M48" s="140"/>
      <c r="N48" s="140"/>
      <c r="O48" s="140"/>
      <c r="P48" s="140"/>
      <c r="Q48" s="140"/>
      <c r="R48" s="140"/>
      <c r="S48" s="140"/>
      <c r="T48" s="140"/>
      <c r="U48" s="140"/>
      <c r="V48" s="140"/>
      <c r="W48" s="140"/>
      <c r="X48" s="140"/>
      <c r="Y48" s="140"/>
      <c r="Z48" s="140"/>
      <c r="AA48" s="140"/>
      <c r="AB48" s="140"/>
      <c r="AC48" s="140"/>
      <c r="AE48" s="214"/>
      <c r="AF48" s="214"/>
      <c r="AG48" s="214"/>
      <c r="AH48" s="241">
        <v>20</v>
      </c>
      <c r="AI48" s="214"/>
      <c r="AJ48" s="214"/>
    </row>
    <row r="49" spans="2:36" ht="13.5" customHeight="1" x14ac:dyDescent="0.25">
      <c r="B49" s="289"/>
      <c r="C49" s="55" t="s">
        <v>150</v>
      </c>
      <c r="D49" s="50" t="str">
        <f t="shared" si="3"/>
        <v>Stazioni metro aperte</v>
      </c>
      <c r="E49" s="71" t="s">
        <v>480</v>
      </c>
      <c r="F49" s="31">
        <v>0</v>
      </c>
      <c r="G49" s="32">
        <v>0</v>
      </c>
      <c r="H49" s="32">
        <v>0</v>
      </c>
      <c r="I49" s="91">
        <f>+'3.4 Costi d''Investimento'!F24</f>
        <v>0</v>
      </c>
      <c r="J49" s="140"/>
      <c r="K49" s="140"/>
      <c r="L49" s="140"/>
      <c r="M49" s="140"/>
      <c r="N49" s="140"/>
      <c r="O49" s="140"/>
      <c r="P49" s="140"/>
      <c r="Q49" s="140"/>
      <c r="R49" s="140"/>
      <c r="S49" s="140"/>
      <c r="T49" s="140"/>
      <c r="U49" s="140"/>
      <c r="V49" s="140"/>
      <c r="W49" s="140"/>
      <c r="X49" s="140"/>
      <c r="Y49" s="140"/>
      <c r="Z49" s="140"/>
      <c r="AA49" s="140"/>
      <c r="AB49" s="140"/>
      <c r="AC49" s="140"/>
      <c r="AE49" s="214"/>
      <c r="AF49" s="214"/>
      <c r="AG49" s="214"/>
      <c r="AH49" s="241">
        <v>50</v>
      </c>
      <c r="AI49" s="214"/>
      <c r="AJ49" s="214"/>
    </row>
    <row r="50" spans="2:36" ht="13.5" customHeight="1" x14ac:dyDescent="0.25">
      <c r="B50" s="289"/>
      <c r="C50" s="55" t="s">
        <v>151</v>
      </c>
      <c r="D50" s="50" t="str">
        <f t="shared" si="3"/>
        <v>Stazioni metro chiuse sotterranee superficiali</v>
      </c>
      <c r="E50" s="71" t="s">
        <v>480</v>
      </c>
      <c r="F50" s="31">
        <v>0</v>
      </c>
      <c r="G50" s="32">
        <v>0</v>
      </c>
      <c r="H50" s="32">
        <v>0</v>
      </c>
      <c r="I50" s="91">
        <f>+'3.4 Costi d''Investimento'!F25</f>
        <v>3350000</v>
      </c>
      <c r="J50" s="140">
        <f t="shared" ref="J50:AC50" si="7">I50-$I$50/$AH$50+J18</f>
        <v>3283000</v>
      </c>
      <c r="K50" s="140">
        <f t="shared" si="7"/>
        <v>3216000</v>
      </c>
      <c r="L50" s="140">
        <f t="shared" si="7"/>
        <v>3149000</v>
      </c>
      <c r="M50" s="140">
        <f t="shared" si="7"/>
        <v>3082000</v>
      </c>
      <c r="N50" s="140">
        <f t="shared" si="7"/>
        <v>3015000</v>
      </c>
      <c r="O50" s="140">
        <f t="shared" si="7"/>
        <v>2948000</v>
      </c>
      <c r="P50" s="140">
        <f t="shared" si="7"/>
        <v>2881000</v>
      </c>
      <c r="Q50" s="140">
        <f t="shared" si="7"/>
        <v>2814000</v>
      </c>
      <c r="R50" s="140">
        <f t="shared" si="7"/>
        <v>2747000</v>
      </c>
      <c r="S50" s="140">
        <f t="shared" si="7"/>
        <v>2680000</v>
      </c>
      <c r="T50" s="140">
        <f t="shared" si="7"/>
        <v>2613000</v>
      </c>
      <c r="U50" s="140">
        <f t="shared" si="7"/>
        <v>2546000</v>
      </c>
      <c r="V50" s="140">
        <f t="shared" si="7"/>
        <v>2479000</v>
      </c>
      <c r="W50" s="140">
        <f t="shared" si="7"/>
        <v>2412000</v>
      </c>
      <c r="X50" s="140">
        <f t="shared" si="7"/>
        <v>2345000</v>
      </c>
      <c r="Y50" s="140">
        <f t="shared" si="7"/>
        <v>2278000</v>
      </c>
      <c r="Z50" s="140">
        <f t="shared" si="7"/>
        <v>2211000</v>
      </c>
      <c r="AA50" s="140">
        <f t="shared" si="7"/>
        <v>2144000</v>
      </c>
      <c r="AB50" s="140">
        <f t="shared" si="7"/>
        <v>2077000</v>
      </c>
      <c r="AC50" s="140">
        <f t="shared" si="7"/>
        <v>2010000</v>
      </c>
      <c r="AE50" s="214"/>
      <c r="AF50" s="214"/>
      <c r="AG50" s="214"/>
      <c r="AH50" s="241">
        <v>50</v>
      </c>
      <c r="AI50" s="214"/>
      <c r="AJ50" s="214"/>
    </row>
    <row r="51" spans="2:36" ht="13.5" customHeight="1" x14ac:dyDescent="0.25">
      <c r="B51" s="289"/>
      <c r="C51" s="55" t="s">
        <v>152</v>
      </c>
      <c r="D51" s="50" t="str">
        <f t="shared" si="3"/>
        <v>Stazioni metro chiuse sotterranee profonde</v>
      </c>
      <c r="E51" s="71" t="s">
        <v>480</v>
      </c>
      <c r="F51" s="31">
        <v>0</v>
      </c>
      <c r="G51" s="32">
        <v>0</v>
      </c>
      <c r="H51" s="32">
        <v>0</v>
      </c>
      <c r="I51" s="91">
        <f>+'3.4 Costi d''Investimento'!F26</f>
        <v>0</v>
      </c>
      <c r="J51" s="140"/>
      <c r="K51" s="140"/>
      <c r="L51" s="140"/>
      <c r="M51" s="140"/>
      <c r="N51" s="140"/>
      <c r="O51" s="140"/>
      <c r="P51" s="140"/>
      <c r="Q51" s="140"/>
      <c r="R51" s="140"/>
      <c r="S51" s="140"/>
      <c r="T51" s="140"/>
      <c r="U51" s="140"/>
      <c r="V51" s="140"/>
      <c r="W51" s="140"/>
      <c r="X51" s="140"/>
      <c r="Y51" s="140"/>
      <c r="Z51" s="140"/>
      <c r="AA51" s="140"/>
      <c r="AB51" s="140"/>
      <c r="AC51" s="140"/>
      <c r="AE51" s="214"/>
      <c r="AF51" s="214"/>
      <c r="AG51" s="214"/>
      <c r="AH51" s="241">
        <v>50</v>
      </c>
      <c r="AI51" s="214"/>
      <c r="AJ51" s="214"/>
    </row>
    <row r="52" spans="2:36" ht="13.5" customHeight="1" x14ac:dyDescent="0.25">
      <c r="B52" s="289"/>
      <c r="C52" s="55" t="s">
        <v>153</v>
      </c>
      <c r="D52" s="50" t="str">
        <f t="shared" si="3"/>
        <v>Deposito (opere al rustico e finiture, escluso impianti)</v>
      </c>
      <c r="E52" s="71" t="s">
        <v>480</v>
      </c>
      <c r="F52" s="31">
        <v>0</v>
      </c>
      <c r="G52" s="32">
        <v>0</v>
      </c>
      <c r="H52" s="32">
        <v>0</v>
      </c>
      <c r="I52" s="91">
        <f>+'3.4 Costi d''Investimento'!F27</f>
        <v>1700000</v>
      </c>
      <c r="J52" s="140">
        <f t="shared" ref="J52:AC52" si="8">I52-$I$52/$AH$52+J20</f>
        <v>1666000</v>
      </c>
      <c r="K52" s="140">
        <f t="shared" si="8"/>
        <v>1632000</v>
      </c>
      <c r="L52" s="140">
        <f t="shared" si="8"/>
        <v>1598000</v>
      </c>
      <c r="M52" s="140">
        <f t="shared" si="8"/>
        <v>1564000</v>
      </c>
      <c r="N52" s="140">
        <f t="shared" si="8"/>
        <v>1530000</v>
      </c>
      <c r="O52" s="140">
        <f t="shared" si="8"/>
        <v>1496000</v>
      </c>
      <c r="P52" s="140">
        <f t="shared" si="8"/>
        <v>1462000</v>
      </c>
      <c r="Q52" s="140">
        <f t="shared" si="8"/>
        <v>1428000</v>
      </c>
      <c r="R52" s="140">
        <f t="shared" si="8"/>
        <v>1394000</v>
      </c>
      <c r="S52" s="140">
        <f t="shared" si="8"/>
        <v>1360000</v>
      </c>
      <c r="T52" s="140">
        <f t="shared" si="8"/>
        <v>1326000</v>
      </c>
      <c r="U52" s="140">
        <f t="shared" si="8"/>
        <v>1292000</v>
      </c>
      <c r="V52" s="140">
        <f t="shared" si="8"/>
        <v>1258000</v>
      </c>
      <c r="W52" s="140">
        <f t="shared" si="8"/>
        <v>1224000</v>
      </c>
      <c r="X52" s="140">
        <f t="shared" si="8"/>
        <v>1190000</v>
      </c>
      <c r="Y52" s="140">
        <f t="shared" si="8"/>
        <v>1156000</v>
      </c>
      <c r="Z52" s="140">
        <f t="shared" si="8"/>
        <v>1122000</v>
      </c>
      <c r="AA52" s="140">
        <f t="shared" si="8"/>
        <v>1088000</v>
      </c>
      <c r="AB52" s="140">
        <f t="shared" si="8"/>
        <v>1054000</v>
      </c>
      <c r="AC52" s="140">
        <f t="shared" si="8"/>
        <v>1020000</v>
      </c>
      <c r="AE52" s="214"/>
      <c r="AF52" s="214"/>
      <c r="AG52" s="214"/>
      <c r="AH52" s="241">
        <v>50</v>
      </c>
      <c r="AI52" s="214"/>
      <c r="AJ52" s="214"/>
    </row>
    <row r="53" spans="2:36" ht="13.5" customHeight="1" x14ac:dyDescent="0.25">
      <c r="B53" s="289"/>
      <c r="C53" s="55" t="s">
        <v>154</v>
      </c>
      <c r="D53" s="50" t="str">
        <f t="shared" si="3"/>
        <v xml:space="preserve">Sistemazioni urbanistiche </v>
      </c>
      <c r="E53" s="71" t="s">
        <v>480</v>
      </c>
      <c r="F53" s="31">
        <v>0</v>
      </c>
      <c r="G53" s="32">
        <v>0</v>
      </c>
      <c r="H53" s="32">
        <v>0</v>
      </c>
      <c r="I53" s="91">
        <f>+'3.4 Costi d''Investimento'!F28</f>
        <v>1600000</v>
      </c>
      <c r="J53" s="140">
        <f t="shared" ref="J53:AC53" si="9">I53-$I$53/$AH$53+J21</f>
        <v>1440000</v>
      </c>
      <c r="K53" s="140">
        <f t="shared" si="9"/>
        <v>1280000</v>
      </c>
      <c r="L53" s="140">
        <f t="shared" si="9"/>
        <v>1120000</v>
      </c>
      <c r="M53" s="140">
        <f t="shared" si="9"/>
        <v>960000</v>
      </c>
      <c r="N53" s="140">
        <f t="shared" si="9"/>
        <v>800000</v>
      </c>
      <c r="O53" s="140">
        <f t="shared" si="9"/>
        <v>640000</v>
      </c>
      <c r="P53" s="140">
        <f t="shared" si="9"/>
        <v>480000</v>
      </c>
      <c r="Q53" s="140">
        <f t="shared" si="9"/>
        <v>320000</v>
      </c>
      <c r="R53" s="140">
        <f t="shared" si="9"/>
        <v>160000</v>
      </c>
      <c r="S53" s="140">
        <f t="shared" si="9"/>
        <v>0</v>
      </c>
      <c r="T53" s="140">
        <f t="shared" si="9"/>
        <v>-160000</v>
      </c>
      <c r="U53" s="140">
        <f t="shared" si="9"/>
        <v>-320000</v>
      </c>
      <c r="V53" s="140">
        <f t="shared" si="9"/>
        <v>-480000</v>
      </c>
      <c r="W53" s="140">
        <f t="shared" si="9"/>
        <v>-640000</v>
      </c>
      <c r="X53" s="140">
        <f t="shared" si="9"/>
        <v>-800000</v>
      </c>
      <c r="Y53" s="140">
        <f t="shared" si="9"/>
        <v>-960000</v>
      </c>
      <c r="Z53" s="140">
        <f t="shared" si="9"/>
        <v>-1120000</v>
      </c>
      <c r="AA53" s="140">
        <f t="shared" si="9"/>
        <v>-1280000</v>
      </c>
      <c r="AB53" s="140">
        <f t="shared" si="9"/>
        <v>-1440000</v>
      </c>
      <c r="AC53" s="140">
        <f t="shared" si="9"/>
        <v>-1600000</v>
      </c>
      <c r="AE53" s="214"/>
      <c r="AF53" s="214"/>
      <c r="AG53" s="214"/>
      <c r="AH53" s="241">
        <v>10</v>
      </c>
      <c r="AI53" s="214"/>
      <c r="AJ53" s="214"/>
    </row>
    <row r="54" spans="2:36" ht="13.5" customHeight="1" x14ac:dyDescent="0.25">
      <c r="B54" s="289"/>
      <c r="C54" s="55" t="s">
        <v>155</v>
      </c>
      <c r="D54" s="50" t="str">
        <f t="shared" si="3"/>
        <v>Opere complementari</v>
      </c>
      <c r="E54" s="71" t="s">
        <v>480</v>
      </c>
      <c r="F54" s="31">
        <v>0</v>
      </c>
      <c r="G54" s="32">
        <v>0</v>
      </c>
      <c r="H54" s="32">
        <v>0</v>
      </c>
      <c r="I54" s="91">
        <f>+'3.4 Costi d''Investimento'!F29</f>
        <v>3000000</v>
      </c>
      <c r="J54" s="140">
        <f t="shared" ref="J54:AC54" si="10">I54-$I$54/$AH$54+J22</f>
        <v>2940000</v>
      </c>
      <c r="K54" s="140">
        <f t="shared" si="10"/>
        <v>2880000</v>
      </c>
      <c r="L54" s="140">
        <f t="shared" si="10"/>
        <v>2820000</v>
      </c>
      <c r="M54" s="140">
        <f t="shared" si="10"/>
        <v>2760000</v>
      </c>
      <c r="N54" s="140">
        <f t="shared" si="10"/>
        <v>2700000</v>
      </c>
      <c r="O54" s="140">
        <f t="shared" si="10"/>
        <v>2640000</v>
      </c>
      <c r="P54" s="140">
        <f t="shared" si="10"/>
        <v>2580000</v>
      </c>
      <c r="Q54" s="140">
        <f t="shared" si="10"/>
        <v>2520000</v>
      </c>
      <c r="R54" s="140">
        <f t="shared" si="10"/>
        <v>2460000</v>
      </c>
      <c r="S54" s="140">
        <f t="shared" si="10"/>
        <v>2400000</v>
      </c>
      <c r="T54" s="140">
        <f t="shared" si="10"/>
        <v>2340000</v>
      </c>
      <c r="U54" s="140">
        <f t="shared" si="10"/>
        <v>2280000</v>
      </c>
      <c r="V54" s="140">
        <f t="shared" si="10"/>
        <v>2220000</v>
      </c>
      <c r="W54" s="140">
        <f t="shared" si="10"/>
        <v>2160000</v>
      </c>
      <c r="X54" s="140">
        <f t="shared" si="10"/>
        <v>2100000</v>
      </c>
      <c r="Y54" s="140">
        <f t="shared" si="10"/>
        <v>2040000</v>
      </c>
      <c r="Z54" s="140">
        <f t="shared" si="10"/>
        <v>1980000</v>
      </c>
      <c r="AA54" s="140">
        <f t="shared" si="10"/>
        <v>1920000</v>
      </c>
      <c r="AB54" s="140">
        <f t="shared" si="10"/>
        <v>1860000</v>
      </c>
      <c r="AC54" s="140">
        <f t="shared" si="10"/>
        <v>1800000</v>
      </c>
      <c r="AE54" s="214"/>
      <c r="AF54" s="214"/>
      <c r="AG54" s="214"/>
      <c r="AH54" s="241">
        <v>50</v>
      </c>
      <c r="AI54" s="214"/>
      <c r="AJ54" s="214"/>
    </row>
    <row r="55" spans="2:36" ht="13.5" customHeight="1" x14ac:dyDescent="0.25">
      <c r="B55" s="289"/>
      <c r="C55" s="55" t="s">
        <v>156</v>
      </c>
      <c r="D55" s="50" t="str">
        <f t="shared" si="3"/>
        <v>Impianti di ventilazione di linea e di stazione</v>
      </c>
      <c r="E55" s="71" t="s">
        <v>480</v>
      </c>
      <c r="F55" s="31">
        <v>0</v>
      </c>
      <c r="G55" s="32">
        <v>0</v>
      </c>
      <c r="H55" s="32">
        <v>0</v>
      </c>
      <c r="I55" s="91">
        <f>+'3.4 Costi d''Investimento'!F30</f>
        <v>0</v>
      </c>
      <c r="J55" s="140"/>
      <c r="K55" s="140"/>
      <c r="L55" s="140"/>
      <c r="M55" s="140"/>
      <c r="N55" s="140"/>
      <c r="O55" s="140"/>
      <c r="P55" s="140"/>
      <c r="Q55" s="140"/>
      <c r="R55" s="140"/>
      <c r="S55" s="140"/>
      <c r="T55" s="140"/>
      <c r="U55" s="140"/>
      <c r="V55" s="140"/>
      <c r="W55" s="140"/>
      <c r="X55" s="140"/>
      <c r="Y55" s="140"/>
      <c r="Z55" s="140"/>
      <c r="AA55" s="140"/>
      <c r="AB55" s="140"/>
      <c r="AC55" s="140"/>
      <c r="AE55" s="214"/>
      <c r="AF55" s="214"/>
      <c r="AG55" s="214"/>
      <c r="AH55" s="241">
        <v>15</v>
      </c>
      <c r="AI55" s="214"/>
      <c r="AJ55" s="214"/>
    </row>
    <row r="56" spans="2:36" ht="13.5" customHeight="1" x14ac:dyDescent="0.25">
      <c r="B56" s="289"/>
      <c r="C56" s="55" t="s">
        <v>157</v>
      </c>
      <c r="D56" s="50" t="str">
        <f t="shared" si="3"/>
        <v>Impianti di prevenzione e protezione incendi di linea e di stazione</v>
      </c>
      <c r="E56" s="71" t="s">
        <v>480</v>
      </c>
      <c r="F56" s="31">
        <v>0</v>
      </c>
      <c r="G56" s="32">
        <v>0</v>
      </c>
      <c r="H56" s="32">
        <v>0</v>
      </c>
      <c r="I56" s="91">
        <f>+'3.4 Costi d''Investimento'!F31</f>
        <v>173000</v>
      </c>
      <c r="J56" s="140">
        <f t="shared" ref="J56:AC56" si="11">I56-$I$56/$AH$56+J24</f>
        <v>161466.66666666666</v>
      </c>
      <c r="K56" s="140">
        <f t="shared" si="11"/>
        <v>149933.33333333331</v>
      </c>
      <c r="L56" s="140">
        <f t="shared" si="11"/>
        <v>138399.99999999997</v>
      </c>
      <c r="M56" s="140">
        <f t="shared" si="11"/>
        <v>126866.66666666664</v>
      </c>
      <c r="N56" s="140">
        <f t="shared" si="11"/>
        <v>115333.33333333331</v>
      </c>
      <c r="O56" s="140">
        <f t="shared" si="11"/>
        <v>103799.99999999999</v>
      </c>
      <c r="P56" s="140">
        <f t="shared" si="11"/>
        <v>92266.666666666657</v>
      </c>
      <c r="Q56" s="140">
        <f t="shared" si="11"/>
        <v>80733.333333333328</v>
      </c>
      <c r="R56" s="140">
        <f t="shared" si="11"/>
        <v>69200</v>
      </c>
      <c r="S56" s="140">
        <f t="shared" si="11"/>
        <v>57666.666666666664</v>
      </c>
      <c r="T56" s="140">
        <f t="shared" si="11"/>
        <v>46133.333333333328</v>
      </c>
      <c r="U56" s="140">
        <f t="shared" si="11"/>
        <v>34599.999999999993</v>
      </c>
      <c r="V56" s="140">
        <f t="shared" si="11"/>
        <v>23066.666666666657</v>
      </c>
      <c r="W56" s="140">
        <f t="shared" si="11"/>
        <v>11533.333333333323</v>
      </c>
      <c r="X56" s="140">
        <f t="shared" si="11"/>
        <v>173000</v>
      </c>
      <c r="Y56" s="140">
        <f t="shared" si="11"/>
        <v>161466.66666666666</v>
      </c>
      <c r="Z56" s="140">
        <f t="shared" si="11"/>
        <v>149933.33333333331</v>
      </c>
      <c r="AA56" s="140">
        <f t="shared" si="11"/>
        <v>138399.99999999997</v>
      </c>
      <c r="AB56" s="140">
        <f t="shared" si="11"/>
        <v>126866.66666666664</v>
      </c>
      <c r="AC56" s="140">
        <f t="shared" si="11"/>
        <v>115333.33333333331</v>
      </c>
      <c r="AE56" s="214"/>
      <c r="AF56" s="214"/>
      <c r="AG56" s="214"/>
      <c r="AH56" s="241">
        <v>15</v>
      </c>
      <c r="AI56" s="214"/>
      <c r="AJ56" s="214"/>
    </row>
    <row r="57" spans="2:36" ht="13.5" customHeight="1" x14ac:dyDescent="0.25">
      <c r="B57" s="289"/>
      <c r="C57" s="55" t="s">
        <v>158</v>
      </c>
      <c r="D57" s="50" t="str">
        <f t="shared" si="3"/>
        <v>Impianti di telecomunicazione e sicurezza di linea e di stazione</v>
      </c>
      <c r="E57" s="71" t="s">
        <v>480</v>
      </c>
      <c r="F57" s="31">
        <v>0</v>
      </c>
      <c r="G57" s="32">
        <v>0</v>
      </c>
      <c r="H57" s="32">
        <v>0</v>
      </c>
      <c r="I57" s="91">
        <f>+'3.4 Costi d''Investimento'!F32</f>
        <v>550000</v>
      </c>
      <c r="J57" s="140">
        <f t="shared" ref="J57:AC57" si="12">I57-$I$57/$AH$57+J25</f>
        <v>513333.33333333331</v>
      </c>
      <c r="K57" s="140">
        <f t="shared" si="12"/>
        <v>476666.66666666663</v>
      </c>
      <c r="L57" s="140">
        <f t="shared" si="12"/>
        <v>439999.99999999994</v>
      </c>
      <c r="M57" s="140">
        <f t="shared" si="12"/>
        <v>403333.33333333326</v>
      </c>
      <c r="N57" s="140">
        <f t="shared" si="12"/>
        <v>366666.66666666657</v>
      </c>
      <c r="O57" s="140">
        <f t="shared" si="12"/>
        <v>329999.99999999988</v>
      </c>
      <c r="P57" s="140">
        <f t="shared" si="12"/>
        <v>293333.3333333332</v>
      </c>
      <c r="Q57" s="140">
        <f t="shared" si="12"/>
        <v>256666.66666666654</v>
      </c>
      <c r="R57" s="140">
        <f t="shared" si="12"/>
        <v>219999.99999999988</v>
      </c>
      <c r="S57" s="140">
        <f t="shared" si="12"/>
        <v>183333.33333333323</v>
      </c>
      <c r="T57" s="140">
        <f t="shared" si="12"/>
        <v>146666.66666666657</v>
      </c>
      <c r="U57" s="140">
        <f t="shared" si="12"/>
        <v>109999.99999999991</v>
      </c>
      <c r="V57" s="140">
        <f t="shared" si="12"/>
        <v>73333.333333333256</v>
      </c>
      <c r="W57" s="140">
        <f t="shared" si="12"/>
        <v>36666.666666666591</v>
      </c>
      <c r="X57" s="140">
        <f t="shared" si="12"/>
        <v>549999.99999999988</v>
      </c>
      <c r="Y57" s="140">
        <f t="shared" si="12"/>
        <v>513333.3333333332</v>
      </c>
      <c r="Z57" s="140">
        <f t="shared" si="12"/>
        <v>476666.66666666651</v>
      </c>
      <c r="AA57" s="140">
        <f t="shared" si="12"/>
        <v>439999.99999999983</v>
      </c>
      <c r="AB57" s="140">
        <f t="shared" si="12"/>
        <v>403333.33333333314</v>
      </c>
      <c r="AC57" s="140">
        <f t="shared" si="12"/>
        <v>366666.66666666645</v>
      </c>
      <c r="AE57" s="214"/>
      <c r="AF57" s="214"/>
      <c r="AG57" s="214"/>
      <c r="AH57" s="241">
        <v>15</v>
      </c>
      <c r="AI57" s="214"/>
      <c r="AJ57" s="214"/>
    </row>
    <row r="58" spans="2:36" ht="13.5" customHeight="1" x14ac:dyDescent="0.25">
      <c r="B58" s="289"/>
      <c r="C58" s="55" t="s">
        <v>159</v>
      </c>
      <c r="D58" s="50" t="str">
        <f t="shared" si="3"/>
        <v>Impianti di traslazione</v>
      </c>
      <c r="E58" s="71" t="s">
        <v>480</v>
      </c>
      <c r="F58" s="31">
        <v>0</v>
      </c>
      <c r="G58" s="32">
        <v>0</v>
      </c>
      <c r="H58" s="32">
        <v>0</v>
      </c>
      <c r="I58" s="91">
        <f>+'3.4 Costi d''Investimento'!F33</f>
        <v>400000</v>
      </c>
      <c r="J58" s="140">
        <f t="shared" ref="J58:AC58" si="13">I58-$I$58/$AH$58+J26</f>
        <v>373333.33333333331</v>
      </c>
      <c r="K58" s="140">
        <f t="shared" si="13"/>
        <v>346666.66666666663</v>
      </c>
      <c r="L58" s="140">
        <f t="shared" si="13"/>
        <v>319999.99999999994</v>
      </c>
      <c r="M58" s="140">
        <f t="shared" si="13"/>
        <v>293333.33333333326</v>
      </c>
      <c r="N58" s="140">
        <f t="shared" si="13"/>
        <v>266666.66666666657</v>
      </c>
      <c r="O58" s="140">
        <f t="shared" si="13"/>
        <v>239999.99999999991</v>
      </c>
      <c r="P58" s="140">
        <f t="shared" si="13"/>
        <v>213333.33333333326</v>
      </c>
      <c r="Q58" s="140">
        <f t="shared" si="13"/>
        <v>186666.6666666666</v>
      </c>
      <c r="R58" s="140">
        <f t="shared" si="13"/>
        <v>159999.99999999994</v>
      </c>
      <c r="S58" s="140">
        <f t="shared" si="13"/>
        <v>133333.33333333328</v>
      </c>
      <c r="T58" s="140">
        <f t="shared" si="13"/>
        <v>106666.66666666661</v>
      </c>
      <c r="U58" s="140">
        <f t="shared" si="13"/>
        <v>79999.999999999942</v>
      </c>
      <c r="V58" s="140">
        <f t="shared" si="13"/>
        <v>53333.33333333327</v>
      </c>
      <c r="W58" s="140">
        <f t="shared" si="13"/>
        <v>26666.666666666602</v>
      </c>
      <c r="X58" s="140">
        <f t="shared" si="13"/>
        <v>399999.99999999994</v>
      </c>
      <c r="Y58" s="140">
        <f t="shared" si="13"/>
        <v>373333.33333333326</v>
      </c>
      <c r="Z58" s="140">
        <f t="shared" si="13"/>
        <v>346666.66666666657</v>
      </c>
      <c r="AA58" s="140">
        <f t="shared" si="13"/>
        <v>319999.99999999988</v>
      </c>
      <c r="AB58" s="140">
        <f t="shared" si="13"/>
        <v>293333.3333333332</v>
      </c>
      <c r="AC58" s="140">
        <f t="shared" si="13"/>
        <v>266666.66666666651</v>
      </c>
      <c r="AE58" s="214"/>
      <c r="AF58" s="214"/>
      <c r="AG58" s="214"/>
      <c r="AH58" s="241">
        <v>15</v>
      </c>
      <c r="AI58" s="214"/>
      <c r="AJ58" s="214"/>
    </row>
    <row r="59" spans="2:36" ht="13.5" customHeight="1" x14ac:dyDescent="0.25">
      <c r="B59" s="289"/>
      <c r="C59" s="55" t="s">
        <v>160</v>
      </c>
      <c r="D59" s="50" t="str">
        <f t="shared" si="3"/>
        <v>Altri impianti civili</v>
      </c>
      <c r="E59" s="71" t="s">
        <v>480</v>
      </c>
      <c r="F59" s="31">
        <v>0</v>
      </c>
      <c r="G59" s="32">
        <v>0</v>
      </c>
      <c r="H59" s="32">
        <v>0</v>
      </c>
      <c r="I59" s="91">
        <f>+'3.4 Costi d''Investimento'!F34</f>
        <v>340000</v>
      </c>
      <c r="J59" s="140">
        <f t="shared" ref="J59:AC59" si="14">I59-$I$59/$AH$59+J27</f>
        <v>317333.33333333331</v>
      </c>
      <c r="K59" s="140">
        <f t="shared" si="14"/>
        <v>294666.66666666663</v>
      </c>
      <c r="L59" s="140">
        <f t="shared" si="14"/>
        <v>271999.99999999994</v>
      </c>
      <c r="M59" s="140">
        <f t="shared" si="14"/>
        <v>249333.33333333328</v>
      </c>
      <c r="N59" s="140">
        <f t="shared" si="14"/>
        <v>226666.66666666663</v>
      </c>
      <c r="O59" s="140">
        <f t="shared" si="14"/>
        <v>203999.99999999997</v>
      </c>
      <c r="P59" s="140">
        <f t="shared" si="14"/>
        <v>181333.33333333331</v>
      </c>
      <c r="Q59" s="140">
        <f t="shared" si="14"/>
        <v>158666.66666666666</v>
      </c>
      <c r="R59" s="140">
        <f t="shared" si="14"/>
        <v>136000</v>
      </c>
      <c r="S59" s="140">
        <f t="shared" si="14"/>
        <v>113333.33333333333</v>
      </c>
      <c r="T59" s="140">
        <f t="shared" si="14"/>
        <v>90666.666666666657</v>
      </c>
      <c r="U59" s="140">
        <f t="shared" si="14"/>
        <v>67999.999999999985</v>
      </c>
      <c r="V59" s="140">
        <f t="shared" si="14"/>
        <v>45333.333333333314</v>
      </c>
      <c r="W59" s="140">
        <f t="shared" si="14"/>
        <v>22666.666666666646</v>
      </c>
      <c r="X59" s="140">
        <f t="shared" si="14"/>
        <v>340000</v>
      </c>
      <c r="Y59" s="140">
        <f t="shared" si="14"/>
        <v>317333.33333333331</v>
      </c>
      <c r="Z59" s="140">
        <f t="shared" si="14"/>
        <v>294666.66666666663</v>
      </c>
      <c r="AA59" s="140">
        <f t="shared" si="14"/>
        <v>271999.99999999994</v>
      </c>
      <c r="AB59" s="140">
        <f t="shared" si="14"/>
        <v>249333.33333333328</v>
      </c>
      <c r="AC59" s="140">
        <f t="shared" si="14"/>
        <v>226666.66666666663</v>
      </c>
      <c r="AE59" s="214"/>
      <c r="AF59" s="214"/>
      <c r="AG59" s="214"/>
      <c r="AH59" s="241">
        <v>15</v>
      </c>
      <c r="AI59" s="214"/>
      <c r="AJ59" s="214"/>
    </row>
    <row r="60" spans="2:36" ht="13.5" customHeight="1" x14ac:dyDescent="0.25">
      <c r="B60" s="289"/>
      <c r="C60" s="55" t="s">
        <v>161</v>
      </c>
      <c r="D60" s="50" t="str">
        <f t="shared" si="3"/>
        <v>Sistemi di distribuzione e validazione biglietti</v>
      </c>
      <c r="E60" s="71" t="s">
        <v>480</v>
      </c>
      <c r="F60" s="31">
        <v>0</v>
      </c>
      <c r="G60" s="32">
        <v>0</v>
      </c>
      <c r="H60" s="32">
        <v>0</v>
      </c>
      <c r="I60" s="91">
        <f>+'3.4 Costi d''Investimento'!F35</f>
        <v>410000</v>
      </c>
      <c r="J60" s="140">
        <f t="shared" ref="J60:AC60" si="15">I60-$I$60/$AH$60+J28</f>
        <v>382666.66666666669</v>
      </c>
      <c r="K60" s="140">
        <f t="shared" si="15"/>
        <v>355333.33333333337</v>
      </c>
      <c r="L60" s="140">
        <f t="shared" si="15"/>
        <v>328000.00000000006</v>
      </c>
      <c r="M60" s="140">
        <f t="shared" si="15"/>
        <v>300666.66666666674</v>
      </c>
      <c r="N60" s="140">
        <f t="shared" si="15"/>
        <v>273333.33333333343</v>
      </c>
      <c r="O60" s="140">
        <f t="shared" si="15"/>
        <v>246000.00000000009</v>
      </c>
      <c r="P60" s="140">
        <f t="shared" si="15"/>
        <v>218666.66666666674</v>
      </c>
      <c r="Q60" s="140">
        <f t="shared" si="15"/>
        <v>191333.3333333334</v>
      </c>
      <c r="R60" s="140">
        <f t="shared" si="15"/>
        <v>164000.00000000006</v>
      </c>
      <c r="S60" s="140">
        <f t="shared" si="15"/>
        <v>136666.66666666672</v>
      </c>
      <c r="T60" s="140">
        <f t="shared" si="15"/>
        <v>109333.33333333339</v>
      </c>
      <c r="U60" s="140">
        <f t="shared" si="15"/>
        <v>82000.000000000058</v>
      </c>
      <c r="V60" s="140">
        <f t="shared" si="15"/>
        <v>54666.66666666673</v>
      </c>
      <c r="W60" s="140">
        <f t="shared" si="15"/>
        <v>27333.333333333398</v>
      </c>
      <c r="X60" s="140">
        <f t="shared" si="15"/>
        <v>410000.00000000006</v>
      </c>
      <c r="Y60" s="140">
        <f t="shared" si="15"/>
        <v>382666.66666666674</v>
      </c>
      <c r="Z60" s="140">
        <f t="shared" si="15"/>
        <v>355333.33333333343</v>
      </c>
      <c r="AA60" s="140">
        <f t="shared" si="15"/>
        <v>328000.00000000012</v>
      </c>
      <c r="AB60" s="140">
        <f t="shared" si="15"/>
        <v>300666.6666666668</v>
      </c>
      <c r="AC60" s="140">
        <f t="shared" si="15"/>
        <v>273333.33333333349</v>
      </c>
      <c r="AE60" s="214"/>
      <c r="AF60" s="214"/>
      <c r="AG60" s="214"/>
      <c r="AH60" s="241">
        <v>15</v>
      </c>
      <c r="AI60" s="214"/>
      <c r="AJ60" s="214"/>
    </row>
    <row r="61" spans="2:36" ht="13.5" customHeight="1" x14ac:dyDescent="0.25">
      <c r="B61" s="289"/>
      <c r="C61" s="55" t="s">
        <v>279</v>
      </c>
      <c r="D61" s="50" t="str">
        <f t="shared" si="3"/>
        <v>Sistema di alimentazione e sezionamento</v>
      </c>
      <c r="E61" s="71" t="s">
        <v>480</v>
      </c>
      <c r="F61" s="31">
        <v>0</v>
      </c>
      <c r="G61" s="32">
        <v>0</v>
      </c>
      <c r="H61" s="32">
        <v>0</v>
      </c>
      <c r="I61" s="91">
        <f>+'3.4 Costi d''Investimento'!F37</f>
        <v>0</v>
      </c>
      <c r="J61" s="140"/>
      <c r="K61" s="140"/>
      <c r="L61" s="140"/>
      <c r="M61" s="140"/>
      <c r="N61" s="140"/>
      <c r="O61" s="140"/>
      <c r="P61" s="140"/>
      <c r="Q61" s="140"/>
      <c r="R61" s="140"/>
      <c r="S61" s="140"/>
      <c r="T61" s="140"/>
      <c r="U61" s="140"/>
      <c r="V61" s="140"/>
      <c r="W61" s="140"/>
      <c r="X61" s="140"/>
      <c r="Y61" s="140"/>
      <c r="Z61" s="140"/>
      <c r="AA61" s="140"/>
      <c r="AB61" s="140"/>
      <c r="AC61" s="140"/>
      <c r="AE61" s="214"/>
      <c r="AF61" s="214"/>
      <c r="AG61" s="214"/>
      <c r="AH61" s="241">
        <v>15</v>
      </c>
      <c r="AI61" s="214"/>
      <c r="AJ61" s="214"/>
    </row>
    <row r="62" spans="2:36" ht="13.5" customHeight="1" x14ac:dyDescent="0.25">
      <c r="B62" s="289"/>
      <c r="C62" s="55" t="s">
        <v>280</v>
      </c>
      <c r="D62" s="50" t="str">
        <f t="shared" si="3"/>
        <v>Linea di contatto</v>
      </c>
      <c r="E62" s="71" t="s">
        <v>480</v>
      </c>
      <c r="F62" s="31">
        <v>0</v>
      </c>
      <c r="G62" s="32">
        <v>0</v>
      </c>
      <c r="H62" s="32">
        <v>0</v>
      </c>
      <c r="I62" s="91">
        <f>+'3.4 Costi d''Investimento'!F38</f>
        <v>0</v>
      </c>
      <c r="J62" s="140"/>
      <c r="K62" s="140"/>
      <c r="L62" s="140"/>
      <c r="M62" s="140"/>
      <c r="N62" s="140"/>
      <c r="O62" s="140"/>
      <c r="P62" s="140"/>
      <c r="Q62" s="140"/>
      <c r="R62" s="140"/>
      <c r="S62" s="140"/>
      <c r="T62" s="140"/>
      <c r="U62" s="140"/>
      <c r="V62" s="140"/>
      <c r="W62" s="140"/>
      <c r="X62" s="140"/>
      <c r="Y62" s="140"/>
      <c r="Z62" s="140"/>
      <c r="AA62" s="140"/>
      <c r="AB62" s="140"/>
      <c r="AC62" s="140"/>
      <c r="AE62" s="214"/>
      <c r="AF62" s="214"/>
      <c r="AG62" s="214"/>
      <c r="AH62" s="241">
        <v>15</v>
      </c>
      <c r="AI62" s="214"/>
      <c r="AJ62" s="214"/>
    </row>
    <row r="63" spans="2:36" ht="13.5" customHeight="1" x14ac:dyDescent="0.25">
      <c r="B63" s="289"/>
      <c r="C63" s="55" t="s">
        <v>281</v>
      </c>
      <c r="D63" s="50" t="str">
        <f t="shared" si="3"/>
        <v>Sistema di automazione (SCADA)</v>
      </c>
      <c r="E63" s="71" t="s">
        <v>480</v>
      </c>
      <c r="F63" s="31">
        <v>0</v>
      </c>
      <c r="G63" s="32">
        <v>0</v>
      </c>
      <c r="H63" s="32">
        <v>0</v>
      </c>
      <c r="I63" s="91">
        <f>+'3.4 Costi d''Investimento'!F39</f>
        <v>0</v>
      </c>
      <c r="J63" s="140"/>
      <c r="K63" s="140"/>
      <c r="L63" s="140"/>
      <c r="M63" s="140"/>
      <c r="N63" s="140"/>
      <c r="O63" s="140"/>
      <c r="P63" s="140"/>
      <c r="Q63" s="140"/>
      <c r="R63" s="140"/>
      <c r="S63" s="140"/>
      <c r="T63" s="140"/>
      <c r="U63" s="140"/>
      <c r="V63" s="140"/>
      <c r="W63" s="140"/>
      <c r="X63" s="140"/>
      <c r="Y63" s="140"/>
      <c r="Z63" s="140"/>
      <c r="AA63" s="140"/>
      <c r="AB63" s="140"/>
      <c r="AC63" s="140"/>
      <c r="AE63" s="214"/>
      <c r="AF63" s="214"/>
      <c r="AG63" s="214"/>
      <c r="AH63" s="241">
        <v>15</v>
      </c>
      <c r="AI63" s="214"/>
      <c r="AJ63" s="214"/>
    </row>
    <row r="64" spans="2:36" ht="13.5" customHeight="1" x14ac:dyDescent="0.25">
      <c r="B64" s="289"/>
      <c r="C64" s="55" t="s">
        <v>282</v>
      </c>
      <c r="D64" s="50" t="str">
        <f t="shared" si="3"/>
        <v>Segnalamento, telecomunicazioni T/B e sistemi di gestione esercizio</v>
      </c>
      <c r="E64" s="71" t="s">
        <v>480</v>
      </c>
      <c r="F64" s="31">
        <v>0</v>
      </c>
      <c r="G64" s="32">
        <v>0</v>
      </c>
      <c r="H64" s="32">
        <v>0</v>
      </c>
      <c r="I64" s="91">
        <f>+'3.4 Costi d''Investimento'!F40</f>
        <v>1400000</v>
      </c>
      <c r="J64" s="168">
        <f t="shared" ref="J64:AC64" si="16">I64-$I$64/$AH$63+J32</f>
        <v>1306666.6666666667</v>
      </c>
      <c r="K64" s="168">
        <f t="shared" si="16"/>
        <v>1213333.3333333335</v>
      </c>
      <c r="L64" s="168">
        <f t="shared" si="16"/>
        <v>1120000.0000000002</v>
      </c>
      <c r="M64" s="168">
        <f t="shared" si="16"/>
        <v>1026666.6666666669</v>
      </c>
      <c r="N64" s="168">
        <f t="shared" si="16"/>
        <v>933333.33333333349</v>
      </c>
      <c r="O64" s="168">
        <f t="shared" si="16"/>
        <v>840000.00000000012</v>
      </c>
      <c r="P64" s="168">
        <f t="shared" si="16"/>
        <v>746666.66666666674</v>
      </c>
      <c r="Q64" s="168">
        <f t="shared" si="16"/>
        <v>653333.33333333337</v>
      </c>
      <c r="R64" s="168">
        <f t="shared" si="16"/>
        <v>560000</v>
      </c>
      <c r="S64" s="168">
        <f t="shared" si="16"/>
        <v>466666.66666666669</v>
      </c>
      <c r="T64" s="168">
        <f t="shared" si="16"/>
        <v>373333.33333333337</v>
      </c>
      <c r="U64" s="168">
        <f t="shared" si="16"/>
        <v>280000.00000000006</v>
      </c>
      <c r="V64" s="168">
        <f t="shared" si="16"/>
        <v>186666.66666666674</v>
      </c>
      <c r="W64" s="168">
        <f t="shared" si="16"/>
        <v>93333.333333333416</v>
      </c>
      <c r="X64" s="168">
        <f t="shared" si="16"/>
        <v>1400000</v>
      </c>
      <c r="Y64" s="168">
        <f t="shared" si="16"/>
        <v>1306666.6666666667</v>
      </c>
      <c r="Z64" s="168">
        <f t="shared" si="16"/>
        <v>1213333.3333333335</v>
      </c>
      <c r="AA64" s="168">
        <f t="shared" si="16"/>
        <v>1120000.0000000002</v>
      </c>
      <c r="AB64" s="168">
        <f t="shared" si="16"/>
        <v>1026666.6666666669</v>
      </c>
      <c r="AC64" s="168">
        <f t="shared" si="16"/>
        <v>933333.33333333349</v>
      </c>
      <c r="AE64" s="214"/>
      <c r="AF64" s="214"/>
      <c r="AG64" s="214"/>
      <c r="AH64" s="241">
        <v>15</v>
      </c>
      <c r="AI64" s="214"/>
      <c r="AJ64" s="214"/>
    </row>
    <row r="65" spans="2:36" ht="13.5" customHeight="1" x14ac:dyDescent="0.25">
      <c r="B65" s="289"/>
      <c r="C65" s="55" t="s">
        <v>283</v>
      </c>
      <c r="D65" s="50" t="str">
        <f t="shared" si="3"/>
        <v xml:space="preserve">Deposito </v>
      </c>
      <c r="E65" s="71" t="s">
        <v>480</v>
      </c>
      <c r="F65" s="31">
        <v>0</v>
      </c>
      <c r="G65" s="32">
        <v>0</v>
      </c>
      <c r="H65" s="32">
        <v>0</v>
      </c>
      <c r="I65" s="91">
        <f>+'3.4 Costi d''Investimento'!F41</f>
        <v>250000</v>
      </c>
      <c r="J65" s="168">
        <f t="shared" ref="J65:AC65" si="17">I65-$I$65/$AH$64+J33</f>
        <v>233333.33333333334</v>
      </c>
      <c r="K65" s="168">
        <f t="shared" si="17"/>
        <v>216666.66666666669</v>
      </c>
      <c r="L65" s="168">
        <f t="shared" si="17"/>
        <v>200000.00000000003</v>
      </c>
      <c r="M65" s="168">
        <f t="shared" si="17"/>
        <v>183333.33333333337</v>
      </c>
      <c r="N65" s="168">
        <f t="shared" si="17"/>
        <v>166666.66666666672</v>
      </c>
      <c r="O65" s="168">
        <f t="shared" si="17"/>
        <v>150000.00000000006</v>
      </c>
      <c r="P65" s="168">
        <f t="shared" si="17"/>
        <v>133333.3333333334</v>
      </c>
      <c r="Q65" s="168">
        <f t="shared" si="17"/>
        <v>116666.66666666673</v>
      </c>
      <c r="R65" s="168">
        <f t="shared" si="17"/>
        <v>100000.00000000006</v>
      </c>
      <c r="S65" s="168">
        <f t="shared" si="17"/>
        <v>83333.333333333387</v>
      </c>
      <c r="T65" s="168">
        <f t="shared" si="17"/>
        <v>66666.666666666715</v>
      </c>
      <c r="U65" s="168">
        <f t="shared" si="17"/>
        <v>50000.000000000044</v>
      </c>
      <c r="V65" s="168">
        <f t="shared" si="17"/>
        <v>33333.333333333372</v>
      </c>
      <c r="W65" s="168">
        <f t="shared" si="17"/>
        <v>16666.666666666704</v>
      </c>
      <c r="X65" s="168">
        <f t="shared" si="17"/>
        <v>250000.00000000003</v>
      </c>
      <c r="Y65" s="168">
        <f t="shared" si="17"/>
        <v>233333.33333333337</v>
      </c>
      <c r="Z65" s="168">
        <f t="shared" si="17"/>
        <v>216666.66666666672</v>
      </c>
      <c r="AA65" s="168">
        <f t="shared" si="17"/>
        <v>200000.00000000006</v>
      </c>
      <c r="AB65" s="168">
        <f t="shared" si="17"/>
        <v>183333.3333333334</v>
      </c>
      <c r="AC65" s="168">
        <f t="shared" si="17"/>
        <v>166666.66666666674</v>
      </c>
      <c r="AE65" s="214"/>
      <c r="AF65" s="214"/>
      <c r="AG65" s="214"/>
      <c r="AH65" s="241">
        <v>15</v>
      </c>
      <c r="AI65" s="214"/>
      <c r="AJ65" s="214"/>
    </row>
    <row r="66" spans="2:36" ht="13.5" customHeight="1" x14ac:dyDescent="0.25">
      <c r="B66" s="289"/>
      <c r="C66" s="55" t="s">
        <v>284</v>
      </c>
      <c r="D66" s="50" t="str">
        <f t="shared" si="3"/>
        <v>Altro</v>
      </c>
      <c r="E66" s="71" t="s">
        <v>480</v>
      </c>
      <c r="F66" s="31">
        <v>0</v>
      </c>
      <c r="G66" s="32">
        <v>0</v>
      </c>
      <c r="H66" s="32">
        <v>0</v>
      </c>
      <c r="I66" s="91">
        <f>+'3.4 Costi d''Investimento'!F42</f>
        <v>33532500</v>
      </c>
      <c r="J66" s="169">
        <f t="shared" ref="J66:P66" si="18">+I66-($I$66/$AH$66)+J34</f>
        <v>31855875</v>
      </c>
      <c r="K66" s="169">
        <f t="shared" si="18"/>
        <v>30179250</v>
      </c>
      <c r="L66" s="169">
        <f t="shared" si="18"/>
        <v>28502625</v>
      </c>
      <c r="M66" s="169">
        <f t="shared" si="18"/>
        <v>26826000</v>
      </c>
      <c r="N66" s="169">
        <f t="shared" si="18"/>
        <v>25149375</v>
      </c>
      <c r="O66" s="169">
        <f t="shared" si="18"/>
        <v>23472750</v>
      </c>
      <c r="P66" s="169">
        <f t="shared" si="18"/>
        <v>21796125</v>
      </c>
      <c r="Q66" s="169">
        <f>+P66-($I$66/$AH$66)+$Q$34</f>
        <v>22119500</v>
      </c>
      <c r="R66" s="169">
        <f>+Q66-($I$66/$AH$66)-$Q$34/7+R34</f>
        <v>20157160.714285713</v>
      </c>
      <c r="S66" s="169">
        <f>+R66-($I$66/$AH$66)-$Q$34/7+S34</f>
        <v>18194821.428571425</v>
      </c>
      <c r="T66" s="169">
        <f>+S66-($I$66/$AH$66)-$Q$34/7-$S$34/10+T34</f>
        <v>16232482.14285714</v>
      </c>
      <c r="U66" s="169">
        <f>+T66-($I$66/$AH$66)-$Q$34/7-$S$34/10+U34</f>
        <v>14270142.857142854</v>
      </c>
      <c r="V66" s="169">
        <f>+U66-($I$66/$AH$66)-$Q$34/7-$S$34/10+V34</f>
        <v>12307803.571428569</v>
      </c>
      <c r="W66" s="169">
        <f>+V66-($I$66/$AH$66)-$Q$34/7-$S$34/10+W34</f>
        <v>10345464.285714284</v>
      </c>
      <c r="X66" s="169">
        <f>+W66-($I$66/$AH$66)-$Q$34/7-$S$34/10+X34</f>
        <v>11383124.999999998</v>
      </c>
      <c r="Y66" s="169">
        <f>+X66-($I$66/$AH$66)-$X$34/5-$S$34/10+Y34</f>
        <v>9106499.9999999981</v>
      </c>
      <c r="Z66" s="169">
        <f>+Y66-($I$66/$AH$66)-$X$34/5-$S$34/10+Z34</f>
        <v>6829874.9999999981</v>
      </c>
      <c r="AA66" s="169">
        <f>+Z66-($I$66/$AH$66)-$X$34/5-$S$34/10+AA34</f>
        <v>4553249.9999999981</v>
      </c>
      <c r="AB66" s="169">
        <f>+AA66-($I$66/$AH$66)-$X$34/5-$S$34/10+AB34</f>
        <v>2276624.9999999981</v>
      </c>
      <c r="AC66" s="169">
        <f>+AB66-($I$66/$AH$66)-$X$34/5-$S$34/10+AC34</f>
        <v>-1.862645149230957E-9</v>
      </c>
      <c r="AE66" s="214"/>
      <c r="AF66" s="214"/>
      <c r="AG66" s="214"/>
      <c r="AH66" s="241">
        <v>20</v>
      </c>
      <c r="AI66" s="214"/>
      <c r="AJ66" s="214">
        <v>40</v>
      </c>
    </row>
    <row r="67" spans="2:36" ht="13.5" customHeight="1" x14ac:dyDescent="0.25">
      <c r="B67" s="289"/>
      <c r="C67" s="55" t="s">
        <v>481</v>
      </c>
      <c r="D67" s="50" t="str">
        <f t="shared" si="3"/>
        <v>Materiale rotabile (filobus)</v>
      </c>
      <c r="E67" s="71" t="s">
        <v>480</v>
      </c>
      <c r="F67" s="31">
        <v>0</v>
      </c>
      <c r="G67" s="32">
        <v>0</v>
      </c>
      <c r="H67" s="32">
        <v>0</v>
      </c>
      <c r="I67" s="91">
        <f>+'3.4 Costi d''Investimento'!F44</f>
        <v>0</v>
      </c>
      <c r="J67" s="168"/>
      <c r="K67" s="168"/>
      <c r="L67" s="168"/>
      <c r="M67" s="168"/>
      <c r="N67" s="168"/>
      <c r="O67" s="168"/>
      <c r="P67" s="168"/>
      <c r="Q67" s="168"/>
      <c r="R67" s="168"/>
      <c r="S67" s="168"/>
      <c r="T67" s="168"/>
      <c r="U67" s="168"/>
      <c r="V67" s="168"/>
      <c r="W67" s="168"/>
      <c r="X67" s="168"/>
      <c r="Y67" s="168"/>
      <c r="Z67" s="168"/>
      <c r="AA67" s="168"/>
      <c r="AB67" s="168"/>
      <c r="AC67" s="168"/>
      <c r="AE67" s="214"/>
      <c r="AF67" s="214"/>
      <c r="AG67" s="214"/>
      <c r="AH67" s="241">
        <v>15</v>
      </c>
      <c r="AI67" s="214"/>
      <c r="AJ67" s="214"/>
    </row>
    <row r="68" spans="2:36" ht="13.5" customHeight="1" x14ac:dyDescent="0.25">
      <c r="B68" s="289"/>
      <c r="C68" s="55" t="s">
        <v>564</v>
      </c>
      <c r="D68" s="50" t="str">
        <f t="shared" si="3"/>
        <v>Materiale rotabile (tram/metro)  (*)</v>
      </c>
      <c r="E68" s="71" t="s">
        <v>480</v>
      </c>
      <c r="F68" s="31">
        <v>0</v>
      </c>
      <c r="G68" s="32">
        <v>0</v>
      </c>
      <c r="H68" s="32">
        <v>0</v>
      </c>
      <c r="I68" s="91">
        <f>+'3.4 Costi d''Investimento'!F45</f>
        <v>0</v>
      </c>
      <c r="J68" s="168"/>
      <c r="K68" s="168"/>
      <c r="L68" s="168"/>
      <c r="M68" s="168"/>
      <c r="N68" s="168"/>
      <c r="O68" s="168"/>
      <c r="P68" s="168"/>
      <c r="Q68" s="168"/>
      <c r="R68" s="168"/>
      <c r="S68" s="168"/>
      <c r="T68" s="168"/>
      <c r="U68" s="168"/>
      <c r="V68" s="168"/>
      <c r="W68" s="168"/>
      <c r="X68" s="168"/>
      <c r="Y68" s="168"/>
      <c r="Z68" s="168"/>
      <c r="AA68" s="168"/>
      <c r="AB68" s="168"/>
      <c r="AC68" s="168"/>
      <c r="AE68" s="214"/>
      <c r="AF68" s="214"/>
      <c r="AG68" s="214"/>
      <c r="AH68" s="241">
        <v>30</v>
      </c>
      <c r="AI68" s="214"/>
      <c r="AJ68" s="214"/>
    </row>
    <row r="69" spans="2:36" ht="13.5" customHeight="1" x14ac:dyDescent="0.25">
      <c r="B69" s="289"/>
      <c r="C69" s="55" t="s">
        <v>580</v>
      </c>
      <c r="D69" s="50" t="str">
        <f t="shared" si="3"/>
        <v>Materiale rotabile (altro TPL)</v>
      </c>
      <c r="E69" s="71" t="s">
        <v>480</v>
      </c>
      <c r="F69" s="31">
        <v>0</v>
      </c>
      <c r="G69" s="32">
        <v>0</v>
      </c>
      <c r="H69" s="32">
        <v>0</v>
      </c>
      <c r="I69" s="91">
        <f>+'3.4 Costi d''Investimento'!F46</f>
        <v>4636000</v>
      </c>
      <c r="J69" s="169">
        <f t="shared" ref="J69:Q69" si="19">+I69-($I$69/$AH$69)+J37</f>
        <v>4404200</v>
      </c>
      <c r="K69" s="169">
        <f t="shared" si="19"/>
        <v>4172400</v>
      </c>
      <c r="L69" s="169">
        <f t="shared" si="19"/>
        <v>3940600</v>
      </c>
      <c r="M69" s="169">
        <f t="shared" si="19"/>
        <v>3708800</v>
      </c>
      <c r="N69" s="169">
        <f t="shared" si="19"/>
        <v>3477000</v>
      </c>
      <c r="O69" s="169">
        <f t="shared" si="19"/>
        <v>3245200</v>
      </c>
      <c r="P69" s="169">
        <f t="shared" si="19"/>
        <v>3013400</v>
      </c>
      <c r="Q69" s="169">
        <f t="shared" si="19"/>
        <v>2881600</v>
      </c>
      <c r="R69" s="169">
        <f t="shared" ref="R69:X69" si="20">+Q69-($I$69/$AH$66)-$Q$37/7+R37</f>
        <v>2635514.2857142859</v>
      </c>
      <c r="S69" s="169">
        <f t="shared" si="20"/>
        <v>2389428.5714285718</v>
      </c>
      <c r="T69" s="169">
        <f t="shared" si="20"/>
        <v>2143342.8571428577</v>
      </c>
      <c r="U69" s="169">
        <f t="shared" si="20"/>
        <v>1897257.1428571434</v>
      </c>
      <c r="V69" s="169">
        <f t="shared" si="20"/>
        <v>1651171.4285714291</v>
      </c>
      <c r="W69" s="169">
        <f t="shared" si="20"/>
        <v>1405085.7142857148</v>
      </c>
      <c r="X69" s="169">
        <f t="shared" si="20"/>
        <v>1369000.0000000005</v>
      </c>
      <c r="Y69" s="169">
        <f>+X69-($I$69/$AH$66)-$X$37/5+Y37</f>
        <v>1095200.0000000005</v>
      </c>
      <c r="Z69" s="169">
        <f>+Y69-($I$69/$AH$66)-$X$37/5+Z37</f>
        <v>821400.00000000047</v>
      </c>
      <c r="AA69" s="169">
        <f>+Z69-($I$69/$AH$66)-$X$37/5+AA37</f>
        <v>547600.00000000047</v>
      </c>
      <c r="AB69" s="169">
        <f>+AA69-($I$69/$AH$66)-$X$37/5+AB37</f>
        <v>273800.00000000047</v>
      </c>
      <c r="AC69" s="169">
        <f>+AB69-($I$69/$AH$66)-$X$37/5+AC37</f>
        <v>4.6566128730773926E-10</v>
      </c>
      <c r="AE69" s="214"/>
      <c r="AF69" s="214"/>
      <c r="AG69" s="214"/>
      <c r="AH69" s="241">
        <v>20</v>
      </c>
      <c r="AI69" s="214"/>
      <c r="AJ69" s="214"/>
    </row>
    <row r="70" spans="2:36" ht="13.5" customHeight="1" x14ac:dyDescent="0.25">
      <c r="B70" s="290"/>
      <c r="C70" s="59" t="s">
        <v>162</v>
      </c>
      <c r="D70" s="52" t="s">
        <v>163</v>
      </c>
      <c r="E70" s="74" t="s">
        <v>615</v>
      </c>
      <c r="F70" s="60">
        <v>0</v>
      </c>
      <c r="G70" s="16">
        <v>0</v>
      </c>
      <c r="H70" s="16">
        <v>0</v>
      </c>
      <c r="I70" s="91">
        <f>SUM(I40:I69)</f>
        <v>55397000</v>
      </c>
      <c r="J70" s="91">
        <f>SUM(J40:J69)</f>
        <v>52843408.333333336</v>
      </c>
      <c r="K70" s="91"/>
      <c r="L70" s="91"/>
      <c r="M70" s="91"/>
      <c r="N70" s="91"/>
      <c r="O70" s="91"/>
      <c r="P70" s="91"/>
      <c r="Q70" s="91"/>
      <c r="R70" s="91"/>
      <c r="S70" s="91"/>
      <c r="T70" s="91"/>
      <c r="U70" s="91">
        <f t="shared" ref="U70:AC70" si="21">SUM(U40:U69)</f>
        <v>25653899.999999996</v>
      </c>
      <c r="V70" s="91">
        <f t="shared" si="21"/>
        <v>22800308.333333332</v>
      </c>
      <c r="W70" s="91">
        <f t="shared" si="21"/>
        <v>19946716.666666668</v>
      </c>
      <c r="X70" s="91">
        <f t="shared" si="21"/>
        <v>23826125</v>
      </c>
      <c r="Y70" s="91"/>
      <c r="Z70" s="91"/>
      <c r="AA70" s="91"/>
      <c r="AB70" s="91">
        <f t="shared" si="21"/>
        <v>11043758.333333332</v>
      </c>
      <c r="AC70" s="91">
        <f t="shared" si="21"/>
        <v>7848166.666666666</v>
      </c>
    </row>
    <row r="71" spans="2:36" ht="4.5" customHeight="1" x14ac:dyDescent="0.25"/>
    <row r="72" spans="2:36" ht="16.5" customHeight="1" x14ac:dyDescent="0.25">
      <c r="B72" s="132" t="s">
        <v>587</v>
      </c>
      <c r="C72" s="299" t="s">
        <v>608</v>
      </c>
      <c r="D72" s="299"/>
      <c r="E72" s="299"/>
    </row>
    <row r="73" spans="2:36" ht="16.5" customHeight="1" x14ac:dyDescent="0.25">
      <c r="B73" s="132" t="s">
        <v>599</v>
      </c>
      <c r="C73" s="299" t="s">
        <v>609</v>
      </c>
      <c r="D73" s="299"/>
      <c r="E73" s="299"/>
    </row>
    <row r="74" spans="2:36" ht="16.5" customHeight="1" x14ac:dyDescent="0.25">
      <c r="B74" s="132" t="s">
        <v>606</v>
      </c>
      <c r="C74" s="299" t="s">
        <v>610</v>
      </c>
      <c r="D74" s="299"/>
      <c r="E74" s="299"/>
    </row>
    <row r="75" spans="2:36" ht="16.5" customHeight="1" x14ac:dyDescent="0.25">
      <c r="B75" s="5" t="s">
        <v>715</v>
      </c>
      <c r="C75" s="5" t="s">
        <v>720</v>
      </c>
    </row>
    <row r="76" spans="2:36" ht="16.5" customHeight="1" x14ac:dyDescent="0.25"/>
    <row r="77" spans="2:36" ht="16.5" customHeight="1" x14ac:dyDescent="0.25">
      <c r="J77" s="5"/>
      <c r="K77" s="5"/>
      <c r="L77" s="5"/>
      <c r="M77" s="5"/>
      <c r="N77" s="5"/>
      <c r="O77" s="5"/>
      <c r="P77" s="5"/>
      <c r="Q77" s="5"/>
      <c r="R77" s="5"/>
      <c r="S77" s="5"/>
      <c r="T77" s="5"/>
      <c r="U77" s="5"/>
      <c r="V77" s="5"/>
      <c r="W77" s="5"/>
      <c r="X77" s="5"/>
      <c r="Y77" s="5"/>
      <c r="Z77" s="5"/>
      <c r="AA77" s="5"/>
      <c r="AB77" s="5"/>
      <c r="AC77" s="5"/>
    </row>
    <row r="78" spans="2:36" ht="16.5" customHeight="1" x14ac:dyDescent="0.25">
      <c r="J78" s="5"/>
      <c r="K78" s="5"/>
      <c r="L78" s="5"/>
      <c r="M78" s="5"/>
      <c r="N78" s="5"/>
      <c r="O78" s="5"/>
      <c r="P78" s="5"/>
      <c r="Q78" s="5"/>
      <c r="R78" s="5"/>
      <c r="S78" s="5"/>
      <c r="T78" s="5"/>
      <c r="U78" s="5"/>
      <c r="V78" s="5"/>
      <c r="W78" s="5"/>
      <c r="X78" s="5"/>
      <c r="Y78" s="5"/>
      <c r="Z78" s="5"/>
      <c r="AA78" s="5"/>
      <c r="AB78" s="5"/>
      <c r="AC78" s="5"/>
    </row>
    <row r="79" spans="2:36" ht="16.5" customHeight="1" x14ac:dyDescent="0.25">
      <c r="J79" s="5"/>
      <c r="K79" s="5"/>
      <c r="L79" s="5"/>
      <c r="M79" s="5"/>
      <c r="N79" s="5"/>
      <c r="O79" s="5"/>
      <c r="P79" s="5"/>
      <c r="Q79" s="5"/>
      <c r="R79" s="5"/>
      <c r="S79" s="5"/>
      <c r="T79" s="5"/>
      <c r="U79" s="5"/>
      <c r="V79" s="5"/>
      <c r="W79" s="5"/>
      <c r="X79" s="5"/>
      <c r="Y79" s="5"/>
      <c r="Z79" s="5"/>
      <c r="AA79" s="5"/>
      <c r="AB79" s="5"/>
      <c r="AC79" s="5"/>
    </row>
    <row r="80" spans="2:36" ht="16.5" customHeight="1" x14ac:dyDescent="0.25">
      <c r="J80" s="5"/>
      <c r="K80" s="5"/>
      <c r="L80" s="5"/>
      <c r="M80" s="5"/>
      <c r="N80" s="5"/>
      <c r="O80" s="5"/>
      <c r="P80" s="5"/>
      <c r="Q80" s="5"/>
      <c r="R80" s="5"/>
      <c r="S80" s="5"/>
      <c r="T80" s="5"/>
      <c r="U80" s="5"/>
      <c r="V80" s="5"/>
      <c r="W80" s="5"/>
      <c r="X80" s="5"/>
      <c r="Y80" s="5"/>
      <c r="Z80" s="5"/>
      <c r="AA80" s="5"/>
      <c r="AB80" s="5"/>
      <c r="AC80" s="5"/>
    </row>
    <row r="81" spans="10:29" ht="16.5" customHeight="1" x14ac:dyDescent="0.25">
      <c r="J81" s="5"/>
      <c r="K81" s="5"/>
      <c r="L81" s="5"/>
      <c r="M81" s="5"/>
      <c r="N81" s="5"/>
      <c r="O81" s="5"/>
      <c r="P81" s="5"/>
      <c r="Q81" s="5"/>
      <c r="R81" s="5"/>
      <c r="S81" s="5"/>
      <c r="T81" s="5"/>
      <c r="U81" s="5"/>
      <c r="V81" s="5"/>
      <c r="W81" s="5"/>
      <c r="X81" s="5"/>
      <c r="Y81" s="5"/>
      <c r="Z81" s="5"/>
      <c r="AA81" s="5"/>
      <c r="AB81" s="5"/>
      <c r="AC81" s="5"/>
    </row>
    <row r="82" spans="10:29" ht="16.5" customHeight="1" x14ac:dyDescent="0.25">
      <c r="J82" s="5"/>
      <c r="K82" s="5"/>
      <c r="L82" s="5"/>
      <c r="M82" s="5"/>
      <c r="N82" s="5"/>
      <c r="O82" s="5"/>
      <c r="P82" s="5"/>
      <c r="Q82" s="5"/>
      <c r="R82" s="5"/>
      <c r="S82" s="5"/>
      <c r="T82" s="5"/>
      <c r="U82" s="5"/>
      <c r="V82" s="5"/>
      <c r="W82" s="5"/>
      <c r="X82" s="5"/>
      <c r="Y82" s="5"/>
      <c r="Z82" s="5"/>
      <c r="AA82" s="5"/>
      <c r="AB82" s="5"/>
      <c r="AC82" s="5"/>
    </row>
    <row r="83" spans="10:29" ht="16.5" customHeight="1" x14ac:dyDescent="0.25">
      <c r="J83" s="5"/>
      <c r="K83" s="5"/>
      <c r="L83" s="5"/>
      <c r="M83" s="5"/>
      <c r="N83" s="5"/>
      <c r="O83" s="5"/>
      <c r="P83" s="5"/>
      <c r="Q83" s="5"/>
      <c r="R83" s="5"/>
      <c r="S83" s="5"/>
      <c r="T83" s="5"/>
      <c r="U83" s="5"/>
      <c r="V83" s="5"/>
      <c r="W83" s="5"/>
      <c r="X83" s="5"/>
      <c r="Y83" s="5"/>
      <c r="Z83" s="5"/>
      <c r="AA83" s="5"/>
      <c r="AB83" s="5"/>
      <c r="AC83" s="5"/>
    </row>
    <row r="84" spans="10:29" ht="16.5" customHeight="1" x14ac:dyDescent="0.25">
      <c r="J84" s="5"/>
      <c r="K84" s="5"/>
      <c r="L84" s="5"/>
      <c r="M84" s="5"/>
      <c r="N84" s="5"/>
      <c r="O84" s="5"/>
      <c r="P84" s="5"/>
      <c r="Q84" s="5"/>
      <c r="R84" s="5"/>
      <c r="S84" s="5"/>
      <c r="T84" s="5"/>
      <c r="U84" s="5"/>
      <c r="V84" s="5"/>
      <c r="W84" s="5"/>
      <c r="X84" s="5"/>
      <c r="Y84" s="5"/>
      <c r="Z84" s="5"/>
      <c r="AA84" s="5"/>
      <c r="AB84" s="5"/>
      <c r="AC84" s="5"/>
    </row>
  </sheetData>
  <mergeCells count="8">
    <mergeCell ref="C74:E74"/>
    <mergeCell ref="B8:B38"/>
    <mergeCell ref="B40:B70"/>
    <mergeCell ref="AF34:AJ34"/>
    <mergeCell ref="AF37:AJ37"/>
    <mergeCell ref="B4:AC4"/>
    <mergeCell ref="C72:E72"/>
    <mergeCell ref="C73:E73"/>
  </mergeCells>
  <phoneticPr fontId="0" type="noConversion"/>
  <pageMargins left="0.7" right="0.7" top="0.75" bottom="0.75" header="0.3" footer="0.3"/>
  <pageSetup paperSize="8"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topLeftCell="B1" zoomScaleNormal="100" workbookViewId="0">
      <selection activeCell="P20" sqref="P20"/>
    </sheetView>
  </sheetViews>
  <sheetFormatPr defaultColWidth="9.140625" defaultRowHeight="13.5" customHeight="1" x14ac:dyDescent="0.25"/>
  <cols>
    <col min="1" max="1" width="0.85546875" style="5" customWidth="1"/>
    <col min="2" max="2" width="8.5703125" style="4" customWidth="1"/>
    <col min="3" max="3" width="79.85546875" style="5" customWidth="1"/>
    <col min="4" max="4" width="19.5703125" style="5" bestFit="1" customWidth="1"/>
    <col min="5" max="13" width="11.85546875" style="5" customWidth="1"/>
    <col min="14" max="14" width="0.85546875" style="5" customWidth="1"/>
    <col min="15" max="15" width="9.140625" style="5"/>
    <col min="16" max="16" width="127" style="5" bestFit="1" customWidth="1"/>
    <col min="17" max="20" width="9.140625" style="5"/>
    <col min="21" max="21" width="88.28515625" style="5" bestFit="1" customWidth="1"/>
    <col min="22" max="16384" width="9.140625" style="5"/>
  </cols>
  <sheetData>
    <row r="1" spans="2:16" ht="4.5" customHeight="1" x14ac:dyDescent="0.25"/>
    <row r="2" spans="2:16" s="123" customFormat="1" ht="23.25" customHeight="1" x14ac:dyDescent="0.25">
      <c r="B2" s="123" t="str">
        <f>+'3.1 Mobilità e Rete TPL'!B2</f>
        <v>IMPIANTO DI TRASPORTO COLLETTIVO TRA LA CITTA' DI TRENTO ED IL MONTE BONDONE</v>
      </c>
      <c r="C2" s="126"/>
      <c r="D2" s="126"/>
      <c r="E2" s="126"/>
      <c r="F2" s="126"/>
      <c r="G2" s="126"/>
      <c r="H2" s="126"/>
      <c r="I2" s="126"/>
      <c r="J2" s="126"/>
      <c r="M2" s="125" t="str">
        <f>+'3.1 Mobilità e Rete TPL'!L2</f>
        <v>sottoprogramma 3</v>
      </c>
    </row>
    <row r="3" spans="2:16" ht="4.5" customHeight="1" x14ac:dyDescent="0.25"/>
    <row r="4" spans="2:16" ht="13.5" customHeight="1" x14ac:dyDescent="0.25">
      <c r="B4" s="270" t="s">
        <v>515</v>
      </c>
      <c r="C4" s="271"/>
      <c r="D4" s="271"/>
      <c r="E4" s="271"/>
      <c r="F4" s="271"/>
      <c r="G4" s="271"/>
      <c r="H4" s="271"/>
      <c r="I4" s="271"/>
      <c r="J4" s="271"/>
      <c r="K4" s="271"/>
      <c r="L4" s="271"/>
      <c r="M4" s="272"/>
    </row>
    <row r="5" spans="2:16" ht="4.5" customHeight="1" x14ac:dyDescent="0.25"/>
    <row r="6" spans="2:16" ht="13.5" customHeight="1" x14ac:dyDescent="0.25">
      <c r="B6" s="307" t="s">
        <v>15</v>
      </c>
      <c r="C6" s="252" t="s">
        <v>16</v>
      </c>
      <c r="D6" s="252" t="s">
        <v>2</v>
      </c>
      <c r="E6" s="252" t="s">
        <v>0</v>
      </c>
      <c r="F6" s="252"/>
      <c r="G6" s="252"/>
      <c r="H6" s="252"/>
      <c r="I6" s="252"/>
      <c r="J6" s="252" t="s">
        <v>1</v>
      </c>
      <c r="K6" s="252"/>
      <c r="L6" s="252" t="s">
        <v>26</v>
      </c>
      <c r="M6" s="252"/>
      <c r="P6" s="303" t="s">
        <v>661</v>
      </c>
    </row>
    <row r="7" spans="2:16" s="6" customFormat="1" ht="13.5" customHeight="1" x14ac:dyDescent="0.25">
      <c r="B7" s="308"/>
      <c r="C7" s="252"/>
      <c r="D7" s="252"/>
      <c r="E7" s="54">
        <v>2015</v>
      </c>
      <c r="F7" s="54">
        <v>2016</v>
      </c>
      <c r="G7" s="54">
        <v>2017</v>
      </c>
      <c r="H7" s="54">
        <v>2018</v>
      </c>
      <c r="I7" s="54">
        <v>2019</v>
      </c>
      <c r="J7" s="54" t="s">
        <v>287</v>
      </c>
      <c r="K7" s="54" t="s">
        <v>288</v>
      </c>
      <c r="L7" s="54" t="s">
        <v>287</v>
      </c>
      <c r="M7" s="54" t="s">
        <v>288</v>
      </c>
      <c r="P7" s="303"/>
    </row>
    <row r="8" spans="2:16" ht="4.5" customHeight="1" x14ac:dyDescent="0.25">
      <c r="P8" s="143"/>
    </row>
    <row r="9" spans="2:16" ht="13.5" customHeight="1" x14ac:dyDescent="0.25">
      <c r="B9" s="261" t="s">
        <v>464</v>
      </c>
      <c r="C9" s="261"/>
      <c r="D9" s="261"/>
      <c r="E9" s="261"/>
      <c r="F9" s="261"/>
      <c r="G9" s="261"/>
      <c r="H9" s="261"/>
      <c r="I9" s="261"/>
      <c r="J9" s="261"/>
      <c r="K9" s="261"/>
      <c r="L9" s="261"/>
      <c r="M9" s="261"/>
      <c r="P9" s="144"/>
    </row>
    <row r="10" spans="2:16" ht="4.5" customHeight="1" x14ac:dyDescent="0.25">
      <c r="P10" s="145"/>
    </row>
    <row r="11" spans="2:16" ht="13.5" customHeight="1" x14ac:dyDescent="0.25">
      <c r="B11" s="304" t="s">
        <v>462</v>
      </c>
      <c r="C11" s="75" t="s">
        <v>164</v>
      </c>
      <c r="D11" s="76" t="s">
        <v>616</v>
      </c>
      <c r="E11" s="147">
        <v>0</v>
      </c>
      <c r="F11" s="142">
        <v>0</v>
      </c>
      <c r="G11" s="142">
        <v>0</v>
      </c>
      <c r="H11" s="142">
        <v>0</v>
      </c>
      <c r="I11" s="142">
        <v>0</v>
      </c>
      <c r="J11" s="142"/>
      <c r="K11" s="142"/>
      <c r="L11" s="148">
        <f>L14+L13+L12</f>
        <v>0.52302412257602526</v>
      </c>
      <c r="M11" s="142"/>
      <c r="P11" s="143"/>
    </row>
    <row r="12" spans="2:16" ht="13.5" customHeight="1" x14ac:dyDescent="0.25">
      <c r="B12" s="305"/>
      <c r="C12" s="80" t="s">
        <v>165</v>
      </c>
      <c r="D12" s="76" t="s">
        <v>616</v>
      </c>
      <c r="J12" s="142"/>
      <c r="K12" s="142"/>
      <c r="L12" s="148">
        <v>0.2922140924606314</v>
      </c>
      <c r="M12" s="142"/>
      <c r="P12" s="145" t="s">
        <v>753</v>
      </c>
    </row>
    <row r="13" spans="2:16" ht="13.5" customHeight="1" x14ac:dyDescent="0.25">
      <c r="B13" s="305"/>
      <c r="C13" s="80" t="s">
        <v>166</v>
      </c>
      <c r="D13" s="76" t="s">
        <v>616</v>
      </c>
      <c r="E13" s="147">
        <v>0</v>
      </c>
      <c r="F13" s="142">
        <v>0</v>
      </c>
      <c r="G13" s="142">
        <v>0</v>
      </c>
      <c r="H13" s="142">
        <v>0</v>
      </c>
      <c r="I13" s="142">
        <v>0</v>
      </c>
      <c r="J13" s="142"/>
      <c r="K13" s="142"/>
      <c r="L13" s="148">
        <v>1.2933578278919597E-2</v>
      </c>
      <c r="M13" s="142"/>
      <c r="P13" s="145" t="s">
        <v>779</v>
      </c>
    </row>
    <row r="14" spans="2:16" ht="13.5" customHeight="1" x14ac:dyDescent="0.25">
      <c r="B14" s="305"/>
      <c r="C14" s="80" t="s">
        <v>167</v>
      </c>
      <c r="D14" s="76" t="s">
        <v>616</v>
      </c>
      <c r="J14" s="142"/>
      <c r="K14" s="142"/>
      <c r="L14" s="148">
        <v>0.21787645183647431</v>
      </c>
      <c r="M14" s="142"/>
      <c r="P14" s="145" t="s">
        <v>780</v>
      </c>
    </row>
    <row r="15" spans="2:16" ht="13.5" customHeight="1" x14ac:dyDescent="0.25">
      <c r="B15" s="305"/>
      <c r="C15" s="80" t="s">
        <v>168</v>
      </c>
      <c r="D15" s="76" t="s">
        <v>616</v>
      </c>
      <c r="E15" s="147">
        <v>0</v>
      </c>
      <c r="F15" s="142">
        <v>0</v>
      </c>
      <c r="G15" s="142">
        <v>0</v>
      </c>
      <c r="H15" s="142">
        <v>0</v>
      </c>
      <c r="I15" s="142">
        <v>0</v>
      </c>
      <c r="J15" s="142"/>
      <c r="K15" s="142"/>
      <c r="L15" s="148"/>
      <c r="M15" s="142"/>
      <c r="P15" s="145"/>
    </row>
    <row r="16" spans="2:16" ht="13.5" customHeight="1" x14ac:dyDescent="0.25">
      <c r="B16" s="305"/>
      <c r="C16" s="80" t="s">
        <v>169</v>
      </c>
      <c r="D16" s="76" t="s">
        <v>616</v>
      </c>
      <c r="J16" s="142"/>
      <c r="K16" s="142"/>
      <c r="L16" s="148"/>
      <c r="M16" s="142"/>
      <c r="P16" s="145"/>
    </row>
    <row r="17" spans="2:16" ht="13.5" customHeight="1" x14ac:dyDescent="0.25">
      <c r="B17" s="305"/>
      <c r="C17" s="75" t="s">
        <v>170</v>
      </c>
      <c r="D17" s="76" t="s">
        <v>616</v>
      </c>
      <c r="E17" s="147">
        <v>0</v>
      </c>
      <c r="F17" s="142">
        <v>0</v>
      </c>
      <c r="G17" s="142">
        <v>0</v>
      </c>
      <c r="H17" s="142">
        <v>0</v>
      </c>
      <c r="I17" s="142">
        <v>0</v>
      </c>
      <c r="J17" s="142"/>
      <c r="K17" s="142"/>
      <c r="L17" s="148">
        <v>1.6318045496767058E-2</v>
      </c>
      <c r="M17" s="142"/>
      <c r="P17" s="145" t="s">
        <v>754</v>
      </c>
    </row>
    <row r="18" spans="2:16" ht="13.5" customHeight="1" x14ac:dyDescent="0.25">
      <c r="B18" s="305"/>
      <c r="C18" s="75" t="s">
        <v>171</v>
      </c>
      <c r="D18" s="76" t="s">
        <v>616</v>
      </c>
      <c r="J18" s="142"/>
      <c r="K18" s="142"/>
      <c r="L18" s="148">
        <v>1.2238534122575292E-2</v>
      </c>
      <c r="M18" s="142"/>
      <c r="P18" s="145" t="s">
        <v>755</v>
      </c>
    </row>
    <row r="19" spans="2:16" ht="13.5" customHeight="1" x14ac:dyDescent="0.25">
      <c r="B19" s="305"/>
      <c r="C19" s="75" t="s">
        <v>201</v>
      </c>
      <c r="D19" s="76" t="s">
        <v>616</v>
      </c>
      <c r="E19" s="147">
        <v>0</v>
      </c>
      <c r="F19" s="142">
        <v>0</v>
      </c>
      <c r="G19" s="142">
        <v>0</v>
      </c>
      <c r="H19" s="142">
        <v>0</v>
      </c>
      <c r="I19" s="142">
        <v>0</v>
      </c>
      <c r="J19" s="142"/>
      <c r="K19" s="142"/>
      <c r="L19" s="148">
        <v>0.1069787641834008</v>
      </c>
      <c r="M19" s="142"/>
      <c r="P19" s="145" t="s">
        <v>781</v>
      </c>
    </row>
    <row r="20" spans="2:16" ht="13.5" customHeight="1" x14ac:dyDescent="0.25">
      <c r="B20" s="305"/>
      <c r="C20" s="75" t="s">
        <v>172</v>
      </c>
      <c r="D20" s="76" t="s">
        <v>616</v>
      </c>
      <c r="J20" s="142"/>
      <c r="K20" s="142"/>
      <c r="L20" s="148">
        <v>2.885872491557747E-2</v>
      </c>
      <c r="M20" s="142"/>
      <c r="P20" s="145" t="s">
        <v>756</v>
      </c>
    </row>
    <row r="21" spans="2:16" ht="13.5" customHeight="1" x14ac:dyDescent="0.25">
      <c r="B21" s="305"/>
      <c r="C21" s="75" t="s">
        <v>173</v>
      </c>
      <c r="D21" s="76" t="s">
        <v>616</v>
      </c>
      <c r="E21" s="147">
        <v>0</v>
      </c>
      <c r="F21" s="142">
        <v>0</v>
      </c>
      <c r="G21" s="142">
        <v>0</v>
      </c>
      <c r="H21" s="142">
        <v>0</v>
      </c>
      <c r="I21" s="142">
        <v>0</v>
      </c>
      <c r="J21" s="142"/>
      <c r="K21" s="142"/>
      <c r="L21" s="148"/>
      <c r="M21" s="142"/>
      <c r="P21" s="143"/>
    </row>
    <row r="22" spans="2:16" ht="13.5" customHeight="1" x14ac:dyDescent="0.25">
      <c r="B22" s="305"/>
      <c r="C22" s="77" t="s">
        <v>524</v>
      </c>
      <c r="D22" s="78" t="s">
        <v>622</v>
      </c>
      <c r="E22" s="91">
        <f t="shared" ref="E22:M22" si="0">+SUM(E11,E17:E21)</f>
        <v>0</v>
      </c>
      <c r="F22" s="91">
        <f t="shared" si="0"/>
        <v>0</v>
      </c>
      <c r="G22" s="91">
        <f t="shared" si="0"/>
        <v>0</v>
      </c>
      <c r="H22" s="91">
        <f t="shared" si="0"/>
        <v>0</v>
      </c>
      <c r="I22" s="91">
        <f t="shared" si="0"/>
        <v>0</v>
      </c>
      <c r="J22" s="91">
        <f t="shared" si="0"/>
        <v>0</v>
      </c>
      <c r="K22" s="91">
        <f t="shared" si="0"/>
        <v>0</v>
      </c>
      <c r="L22" s="91">
        <f t="shared" si="0"/>
        <v>0.68741819129434589</v>
      </c>
      <c r="M22" s="91">
        <f t="shared" si="0"/>
        <v>0</v>
      </c>
      <c r="P22" s="143"/>
    </row>
    <row r="23" spans="2:16" s="62" customFormat="1" ht="13.5" customHeight="1" x14ac:dyDescent="0.25">
      <c r="B23" s="305"/>
      <c r="C23" s="52" t="s">
        <v>525</v>
      </c>
      <c r="D23" s="78" t="s">
        <v>622</v>
      </c>
      <c r="E23" s="61"/>
      <c r="F23" s="61"/>
      <c r="G23" s="61"/>
      <c r="H23" s="61"/>
      <c r="I23" s="61"/>
      <c r="J23" s="61"/>
      <c r="K23" s="61"/>
      <c r="L23" s="61"/>
      <c r="M23" s="61"/>
      <c r="P23" s="146"/>
    </row>
    <row r="24" spans="2:16" s="62" customFormat="1" ht="13.5" customHeight="1" x14ac:dyDescent="0.25">
      <c r="B24" s="306"/>
      <c r="C24" s="52" t="s">
        <v>527</v>
      </c>
      <c r="D24" s="78" t="s">
        <v>622</v>
      </c>
      <c r="E24" s="92">
        <f>+E22-E15-E19-E20-E21</f>
        <v>0</v>
      </c>
      <c r="F24" s="92">
        <f t="shared" ref="F24:M24" si="1">+F22-F15-F19-F20-F21</f>
        <v>0</v>
      </c>
      <c r="G24" s="92">
        <f t="shared" si="1"/>
        <v>0</v>
      </c>
      <c r="H24" s="92">
        <f t="shared" si="1"/>
        <v>0</v>
      </c>
      <c r="I24" s="92">
        <f t="shared" si="1"/>
        <v>0</v>
      </c>
      <c r="J24" s="92">
        <f t="shared" si="1"/>
        <v>0</v>
      </c>
      <c r="K24" s="92">
        <f t="shared" si="1"/>
        <v>0</v>
      </c>
      <c r="L24" s="92">
        <f t="shared" si="1"/>
        <v>0.55158070219536759</v>
      </c>
      <c r="M24" s="92">
        <f t="shared" si="1"/>
        <v>0</v>
      </c>
      <c r="P24" s="146"/>
    </row>
    <row r="25" spans="2:16" ht="4.5" customHeight="1" x14ac:dyDescent="0.25"/>
    <row r="26" spans="2:16" ht="13.5" customHeight="1" x14ac:dyDescent="0.25">
      <c r="C26" s="12"/>
    </row>
    <row r="27" spans="2:16" ht="13.5" customHeight="1" x14ac:dyDescent="0.25">
      <c r="C27" s="302" t="s">
        <v>626</v>
      </c>
      <c r="D27" s="302"/>
      <c r="E27" s="302"/>
    </row>
    <row r="28" spans="2:16" ht="13.5" customHeight="1" x14ac:dyDescent="0.25">
      <c r="C28" s="224" t="s">
        <v>662</v>
      </c>
      <c r="D28" s="224" t="s">
        <v>751</v>
      </c>
      <c r="E28" s="214" t="s">
        <v>752</v>
      </c>
    </row>
    <row r="29" spans="2:16" ht="13.5" customHeight="1" x14ac:dyDescent="0.25">
      <c r="C29" s="224" t="s">
        <v>663</v>
      </c>
      <c r="D29" s="244">
        <v>38</v>
      </c>
      <c r="E29" s="244">
        <f>122-38</f>
        <v>84</v>
      </c>
    </row>
    <row r="30" spans="2:16" ht="13.5" customHeight="1" x14ac:dyDescent="0.25">
      <c r="C30" s="224" t="s">
        <v>664</v>
      </c>
      <c r="D30" s="245">
        <v>3.08</v>
      </c>
      <c r="E30" s="245">
        <v>8.49</v>
      </c>
    </row>
    <row r="31" spans="2:16" ht="13.5" customHeight="1" x14ac:dyDescent="0.25">
      <c r="B31" s="5"/>
      <c r="C31" s="224" t="s">
        <v>665</v>
      </c>
      <c r="D31" s="245">
        <v>5.0999999999999996</v>
      </c>
      <c r="E31" s="245">
        <v>4.67</v>
      </c>
    </row>
    <row r="32" spans="2:16" ht="13.5" customHeight="1" x14ac:dyDescent="0.25">
      <c r="B32" s="5"/>
      <c r="C32" s="224" t="s">
        <v>666</v>
      </c>
      <c r="D32" s="245">
        <v>15</v>
      </c>
      <c r="E32" s="245">
        <v>9</v>
      </c>
    </row>
    <row r="33" spans="3:5" ht="13.5" customHeight="1" x14ac:dyDescent="0.25">
      <c r="C33" s="224" t="s">
        <v>667</v>
      </c>
      <c r="D33" s="245">
        <f>D31*D32</f>
        <v>76.5</v>
      </c>
      <c r="E33" s="245">
        <f>E31*E32</f>
        <v>42.03</v>
      </c>
    </row>
    <row r="34" spans="3:5" ht="13.5" customHeight="1" x14ac:dyDescent="0.25">
      <c r="C34" s="224" t="s">
        <v>668</v>
      </c>
      <c r="D34" s="245">
        <v>330</v>
      </c>
      <c r="E34" s="245">
        <f>8*30</f>
        <v>240</v>
      </c>
    </row>
    <row r="35" spans="3:5" ht="13.5" customHeight="1" x14ac:dyDescent="0.25">
      <c r="C35" s="224" t="s">
        <v>669</v>
      </c>
      <c r="D35" s="246">
        <f>D29*D30*D33*D34</f>
        <v>2954674.8000000003</v>
      </c>
      <c r="E35" s="246">
        <f>E29*E30*E33*E34</f>
        <v>7193787.5520000001</v>
      </c>
    </row>
  </sheetData>
  <mergeCells count="11">
    <mergeCell ref="C27:E27"/>
    <mergeCell ref="P6:P7"/>
    <mergeCell ref="B11:B24"/>
    <mergeCell ref="B4:M4"/>
    <mergeCell ref="B9:M9"/>
    <mergeCell ref="E6:I6"/>
    <mergeCell ref="J6:K6"/>
    <mergeCell ref="L6:M6"/>
    <mergeCell ref="B6:B7"/>
    <mergeCell ref="C6:C7"/>
    <mergeCell ref="D6:D7"/>
  </mergeCells>
  <phoneticPr fontId="0" type="noConversion"/>
  <pageMargins left="0.7" right="0.7" top="0.75" bottom="0.75" header="0.3" footer="0.3"/>
  <pageSetup paperSize="8" scale="8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J95"/>
  <sheetViews>
    <sheetView zoomScaleNormal="100" workbookViewId="0">
      <pane xSplit="1" ySplit="6" topLeftCell="B7" activePane="bottomRight" state="frozen"/>
      <selection activeCell="M49" sqref="M49"/>
      <selection pane="topRight" activeCell="M49" sqref="M49"/>
      <selection pane="bottomLeft" activeCell="M49" sqref="M49"/>
      <selection pane="bottomRight" activeCell="F12" sqref="F12"/>
    </sheetView>
  </sheetViews>
  <sheetFormatPr defaultColWidth="9.140625" defaultRowHeight="13.5" customHeight="1" x14ac:dyDescent="0.25"/>
  <cols>
    <col min="1" max="1" width="0.85546875" style="5" customWidth="1"/>
    <col min="2" max="3" width="8.5703125" style="4" customWidth="1"/>
    <col min="4" max="4" width="59.85546875" style="5" customWidth="1"/>
    <col min="5" max="5" width="25.7109375" style="5" customWidth="1"/>
    <col min="6" max="6" width="15.5703125" style="5" bestFit="1" customWidth="1"/>
    <col min="7" max="10" width="12.85546875" style="5" customWidth="1"/>
    <col min="11" max="11" width="14" style="5" bestFit="1" customWidth="1"/>
    <col min="12" max="13" width="13.5703125" style="5" bestFit="1" customWidth="1"/>
    <col min="14" max="14" width="12.42578125" style="10" bestFit="1" customWidth="1"/>
    <col min="15" max="23" width="14.140625" style="10" bestFit="1" customWidth="1"/>
    <col min="24" max="28" width="15.140625" style="10" bestFit="1" customWidth="1"/>
    <col min="29" max="32" width="15.140625" style="5" bestFit="1" customWidth="1"/>
    <col min="33" max="33" width="17" style="5" bestFit="1" customWidth="1"/>
    <col min="34" max="34" width="0.85546875" style="5" customWidth="1"/>
    <col min="35" max="35" width="9.140625" style="5"/>
    <col min="36" max="36" width="114.7109375" style="9" customWidth="1"/>
    <col min="37" max="16384" width="9.140625" style="5"/>
  </cols>
  <sheetData>
    <row r="1" spans="2:36" ht="4.5" customHeight="1" x14ac:dyDescent="0.25">
      <c r="C1" s="5"/>
      <c r="N1" s="5"/>
      <c r="O1" s="5"/>
      <c r="P1" s="5"/>
      <c r="Q1" s="5"/>
      <c r="R1" s="5"/>
      <c r="S1" s="5"/>
      <c r="T1" s="5"/>
      <c r="U1" s="5"/>
      <c r="V1" s="5"/>
      <c r="W1" s="5"/>
      <c r="X1" s="5"/>
      <c r="Y1" s="5"/>
      <c r="Z1" s="5"/>
      <c r="AA1" s="5"/>
      <c r="AB1" s="5"/>
    </row>
    <row r="2" spans="2:36" s="123" customFormat="1" ht="23.25" customHeight="1" x14ac:dyDescent="0.25">
      <c r="B2" s="123" t="str">
        <f>+'3.1 Mobilità e Rete TPL'!B2</f>
        <v>IMPIANTO DI TRASPORTO COLLETTIVO TRA LA CITTA' DI TRENTO ED IL MONTE BONDONE</v>
      </c>
      <c r="C2" s="126"/>
      <c r="D2" s="126"/>
      <c r="E2" s="136"/>
      <c r="F2" s="126"/>
      <c r="G2" s="126"/>
      <c r="H2" s="126"/>
      <c r="I2" s="126"/>
      <c r="J2" s="126"/>
      <c r="K2" s="126"/>
      <c r="L2" s="126"/>
      <c r="M2" s="126"/>
      <c r="N2" s="126"/>
      <c r="O2" s="126"/>
      <c r="P2" s="126"/>
      <c r="Q2" s="126"/>
      <c r="R2" s="126"/>
      <c r="S2" s="126"/>
      <c r="T2" s="126"/>
      <c r="U2" s="126"/>
      <c r="V2" s="126"/>
      <c r="W2" s="126"/>
      <c r="X2" s="126"/>
      <c r="Y2" s="126"/>
      <c r="Z2" s="126"/>
      <c r="AA2" s="126"/>
      <c r="AB2" s="126"/>
      <c r="AG2" s="125" t="str">
        <f>+'3.1 Mobilità e Rete TPL'!L2</f>
        <v>sottoprogramma 3</v>
      </c>
      <c r="AJ2" s="247"/>
    </row>
    <row r="3" spans="2:36" ht="4.5" customHeight="1" x14ac:dyDescent="0.25">
      <c r="B3" s="5"/>
      <c r="C3" s="5"/>
      <c r="N3" s="5"/>
      <c r="O3" s="5"/>
      <c r="P3" s="5"/>
      <c r="Q3" s="5"/>
      <c r="R3" s="5"/>
      <c r="S3" s="5"/>
      <c r="T3" s="5"/>
      <c r="U3" s="5"/>
      <c r="V3" s="5"/>
      <c r="W3" s="5"/>
      <c r="X3" s="5"/>
      <c r="Y3" s="5"/>
      <c r="Z3" s="5"/>
      <c r="AA3" s="5"/>
      <c r="AB3" s="5"/>
    </row>
    <row r="4" spans="2:36" ht="13.5" customHeight="1" x14ac:dyDescent="0.25">
      <c r="B4" s="309" t="s">
        <v>516</v>
      </c>
      <c r="C4" s="310"/>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row>
    <row r="5" spans="2:36" ht="4.5" customHeight="1" x14ac:dyDescent="0.25">
      <c r="B5" s="5"/>
      <c r="C5" s="5"/>
      <c r="N5" s="5"/>
      <c r="O5" s="5"/>
      <c r="P5" s="5"/>
      <c r="Q5" s="5"/>
      <c r="R5" s="5"/>
      <c r="S5" s="5"/>
      <c r="T5" s="5"/>
      <c r="U5" s="5"/>
      <c r="V5" s="5"/>
      <c r="W5" s="5"/>
      <c r="X5" s="5"/>
      <c r="Y5" s="5"/>
      <c r="Z5" s="5"/>
      <c r="AA5" s="5"/>
      <c r="AB5" s="5"/>
    </row>
    <row r="6" spans="2:36" s="6" customFormat="1" ht="13.5" customHeight="1" x14ac:dyDescent="0.25">
      <c r="B6" s="53" t="s">
        <v>42</v>
      </c>
      <c r="C6" s="53" t="s">
        <v>43</v>
      </c>
      <c r="D6" s="54" t="s">
        <v>584</v>
      </c>
      <c r="E6" s="54" t="s">
        <v>2</v>
      </c>
      <c r="F6" s="54" t="s">
        <v>611</v>
      </c>
      <c r="G6" s="54" t="s">
        <v>784</v>
      </c>
      <c r="H6" s="250" t="s">
        <v>785</v>
      </c>
      <c r="I6" s="250" t="s">
        <v>786</v>
      </c>
      <c r="J6" s="250" t="s">
        <v>787</v>
      </c>
      <c r="K6" s="250" t="s">
        <v>788</v>
      </c>
      <c r="L6" s="250" t="s">
        <v>789</v>
      </c>
      <c r="M6" s="54" t="s">
        <v>114</v>
      </c>
      <c r="N6" s="54" t="s">
        <v>630</v>
      </c>
      <c r="O6" s="189" t="s">
        <v>722</v>
      </c>
      <c r="P6" s="189" t="s">
        <v>723</v>
      </c>
      <c r="Q6" s="189" t="s">
        <v>724</v>
      </c>
      <c r="R6" s="189" t="s">
        <v>725</v>
      </c>
      <c r="S6" s="189" t="s">
        <v>726</v>
      </c>
      <c r="T6" s="189" t="s">
        <v>727</v>
      </c>
      <c r="U6" s="189" t="s">
        <v>728</v>
      </c>
      <c r="V6" s="189" t="s">
        <v>729</v>
      </c>
      <c r="W6" s="189" t="s">
        <v>730</v>
      </c>
      <c r="X6" s="189" t="s">
        <v>731</v>
      </c>
      <c r="Y6" s="189" t="s">
        <v>732</v>
      </c>
      <c r="Z6" s="189" t="s">
        <v>733</v>
      </c>
      <c r="AA6" s="189" t="s">
        <v>734</v>
      </c>
      <c r="AB6" s="189" t="s">
        <v>735</v>
      </c>
      <c r="AC6" s="189" t="s">
        <v>736</v>
      </c>
      <c r="AD6" s="189" t="s">
        <v>737</v>
      </c>
      <c r="AE6" s="189" t="s">
        <v>738</v>
      </c>
      <c r="AF6" s="207" t="s">
        <v>739</v>
      </c>
      <c r="AG6" s="207" t="s">
        <v>740</v>
      </c>
      <c r="AJ6" s="232" t="s">
        <v>626</v>
      </c>
    </row>
    <row r="7" spans="2:36" ht="4.5" customHeight="1" x14ac:dyDescent="0.25">
      <c r="B7" s="5"/>
      <c r="C7" s="5"/>
      <c r="N7" s="5"/>
      <c r="O7" s="5"/>
      <c r="P7" s="5"/>
      <c r="Q7" s="5"/>
      <c r="R7" s="5"/>
      <c r="S7" s="5"/>
      <c r="T7" s="5"/>
      <c r="U7" s="5"/>
      <c r="V7" s="5"/>
      <c r="W7" s="5"/>
      <c r="X7" s="5"/>
      <c r="Y7" s="5"/>
      <c r="Z7" s="5"/>
      <c r="AA7" s="5"/>
      <c r="AB7" s="5"/>
    </row>
    <row r="8" spans="2:36" ht="13.5" customHeight="1" x14ac:dyDescent="0.25">
      <c r="B8" s="291" t="s">
        <v>304</v>
      </c>
      <c r="C8" s="63" t="s">
        <v>305</v>
      </c>
      <c r="D8" s="50" t="s">
        <v>306</v>
      </c>
      <c r="E8" s="51" t="s">
        <v>529</v>
      </c>
      <c r="F8" s="36">
        <v>0</v>
      </c>
      <c r="G8" s="36">
        <v>0</v>
      </c>
      <c r="H8" s="36">
        <v>0</v>
      </c>
      <c r="I8" s="36">
        <v>0</v>
      </c>
      <c r="J8" s="36">
        <v>0</v>
      </c>
      <c r="K8" s="36">
        <v>0</v>
      </c>
      <c r="L8" s="36">
        <v>0</v>
      </c>
      <c r="M8" s="36">
        <v>0</v>
      </c>
      <c r="N8" s="204">
        <v>180000</v>
      </c>
      <c r="O8" s="204">
        <f>N8</f>
        <v>180000</v>
      </c>
      <c r="P8" s="204">
        <f t="shared" ref="P8:AE8" si="0">O8</f>
        <v>180000</v>
      </c>
      <c r="Q8" s="204">
        <f t="shared" si="0"/>
        <v>180000</v>
      </c>
      <c r="R8" s="204">
        <f t="shared" si="0"/>
        <v>180000</v>
      </c>
      <c r="S8" s="204">
        <f t="shared" si="0"/>
        <v>180000</v>
      </c>
      <c r="T8" s="204">
        <f t="shared" si="0"/>
        <v>180000</v>
      </c>
      <c r="U8" s="204">
        <f t="shared" si="0"/>
        <v>180000</v>
      </c>
      <c r="V8" s="204">
        <f t="shared" si="0"/>
        <v>180000</v>
      </c>
      <c r="W8" s="204">
        <f t="shared" si="0"/>
        <v>180000</v>
      </c>
      <c r="X8" s="204">
        <f t="shared" si="0"/>
        <v>180000</v>
      </c>
      <c r="Y8" s="204">
        <f t="shared" si="0"/>
        <v>180000</v>
      </c>
      <c r="Z8" s="204">
        <f t="shared" si="0"/>
        <v>180000</v>
      </c>
      <c r="AA8" s="204">
        <f t="shared" si="0"/>
        <v>180000</v>
      </c>
      <c r="AB8" s="204">
        <f t="shared" si="0"/>
        <v>180000</v>
      </c>
      <c r="AC8" s="204">
        <f t="shared" si="0"/>
        <v>180000</v>
      </c>
      <c r="AD8" s="204">
        <f t="shared" si="0"/>
        <v>180000</v>
      </c>
      <c r="AE8" s="204">
        <f t="shared" si="0"/>
        <v>180000</v>
      </c>
      <c r="AF8" s="204">
        <f t="shared" ref="AF8:AF9" si="1">AE8</f>
        <v>180000</v>
      </c>
      <c r="AG8" s="204">
        <f t="shared" ref="AG8:AG9" si="2">AF8</f>
        <v>180000</v>
      </c>
    </row>
    <row r="9" spans="2:36" ht="13.5" customHeight="1" x14ac:dyDescent="0.25">
      <c r="B9" s="291"/>
      <c r="C9" s="63" t="s">
        <v>307</v>
      </c>
      <c r="D9" s="50" t="s">
        <v>308</v>
      </c>
      <c r="E9" s="51" t="s">
        <v>529</v>
      </c>
      <c r="F9" s="36">
        <v>0</v>
      </c>
      <c r="G9" s="36">
        <v>0</v>
      </c>
      <c r="H9" s="36">
        <v>0</v>
      </c>
      <c r="I9" s="36">
        <v>0</v>
      </c>
      <c r="J9" s="36">
        <v>0</v>
      </c>
      <c r="K9" s="36">
        <v>0</v>
      </c>
      <c r="L9" s="36">
        <v>0</v>
      </c>
      <c r="M9" s="36">
        <v>0</v>
      </c>
      <c r="N9" s="204">
        <v>730750</v>
      </c>
      <c r="O9" s="204">
        <f>N9</f>
        <v>730750</v>
      </c>
      <c r="P9" s="204">
        <f t="shared" ref="P9:AE9" si="3">O9</f>
        <v>730750</v>
      </c>
      <c r="Q9" s="204">
        <f t="shared" si="3"/>
        <v>730750</v>
      </c>
      <c r="R9" s="204">
        <f t="shared" si="3"/>
        <v>730750</v>
      </c>
      <c r="S9" s="204">
        <f t="shared" si="3"/>
        <v>730750</v>
      </c>
      <c r="T9" s="204">
        <f t="shared" si="3"/>
        <v>730750</v>
      </c>
      <c r="U9" s="204">
        <f t="shared" si="3"/>
        <v>730750</v>
      </c>
      <c r="V9" s="204">
        <f t="shared" si="3"/>
        <v>730750</v>
      </c>
      <c r="W9" s="204">
        <f t="shared" si="3"/>
        <v>730750</v>
      </c>
      <c r="X9" s="204">
        <f t="shared" si="3"/>
        <v>730750</v>
      </c>
      <c r="Y9" s="204">
        <f t="shared" si="3"/>
        <v>730750</v>
      </c>
      <c r="Z9" s="204">
        <f t="shared" si="3"/>
        <v>730750</v>
      </c>
      <c r="AA9" s="204">
        <f t="shared" si="3"/>
        <v>730750</v>
      </c>
      <c r="AB9" s="204">
        <f t="shared" si="3"/>
        <v>730750</v>
      </c>
      <c r="AC9" s="204">
        <f t="shared" si="3"/>
        <v>730750</v>
      </c>
      <c r="AD9" s="204">
        <f t="shared" si="3"/>
        <v>730750</v>
      </c>
      <c r="AE9" s="204">
        <f t="shared" si="3"/>
        <v>730750</v>
      </c>
      <c r="AF9" s="204">
        <f t="shared" si="1"/>
        <v>730750</v>
      </c>
      <c r="AG9" s="204">
        <f t="shared" si="2"/>
        <v>730750</v>
      </c>
    </row>
    <row r="10" spans="2:36" ht="13.5" customHeight="1" x14ac:dyDescent="0.25">
      <c r="B10" s="291"/>
      <c r="C10" s="63" t="s">
        <v>309</v>
      </c>
      <c r="D10" s="50" t="s">
        <v>310</v>
      </c>
      <c r="E10" s="51" t="s">
        <v>529</v>
      </c>
      <c r="F10" s="36">
        <v>0</v>
      </c>
      <c r="G10" s="36">
        <v>0</v>
      </c>
      <c r="H10" s="36">
        <v>0</v>
      </c>
      <c r="I10" s="36">
        <v>0</v>
      </c>
      <c r="J10" s="36">
        <v>0</v>
      </c>
      <c r="K10" s="36">
        <v>0</v>
      </c>
      <c r="L10" s="36">
        <v>0</v>
      </c>
      <c r="M10" s="36">
        <v>0</v>
      </c>
      <c r="N10" s="11">
        <v>16000</v>
      </c>
      <c r="O10" s="11">
        <v>16000</v>
      </c>
      <c r="P10" s="11">
        <v>16000</v>
      </c>
      <c r="Q10" s="11">
        <v>16000</v>
      </c>
      <c r="R10" s="11">
        <v>16000</v>
      </c>
      <c r="S10" s="11">
        <v>20000</v>
      </c>
      <c r="T10" s="11">
        <v>20000</v>
      </c>
      <c r="U10" s="11">
        <v>20000</v>
      </c>
      <c r="V10" s="11">
        <v>20000</v>
      </c>
      <c r="W10" s="11">
        <v>20000</v>
      </c>
      <c r="X10" s="11">
        <v>20000</v>
      </c>
      <c r="Y10" s="11">
        <v>20000</v>
      </c>
      <c r="Z10" s="11">
        <v>20000</v>
      </c>
      <c r="AA10" s="11">
        <v>20000</v>
      </c>
      <c r="AB10" s="11">
        <v>20000</v>
      </c>
      <c r="AC10" s="11">
        <v>20000</v>
      </c>
      <c r="AD10" s="11">
        <v>20000</v>
      </c>
      <c r="AE10" s="11">
        <v>20000</v>
      </c>
      <c r="AF10" s="11">
        <v>20000</v>
      </c>
      <c r="AG10" s="11">
        <v>20000</v>
      </c>
      <c r="AJ10" s="214" t="s">
        <v>721</v>
      </c>
    </row>
    <row r="11" spans="2:36" s="62" customFormat="1" ht="13.5" customHeight="1" x14ac:dyDescent="0.25">
      <c r="B11" s="291"/>
      <c r="C11" s="64" t="s">
        <v>311</v>
      </c>
      <c r="D11" s="65" t="s">
        <v>312</v>
      </c>
      <c r="E11" s="52" t="s">
        <v>529</v>
      </c>
      <c r="F11" s="60">
        <v>0</v>
      </c>
      <c r="G11" s="60">
        <v>0</v>
      </c>
      <c r="H11" s="60">
        <v>0</v>
      </c>
      <c r="I11" s="60">
        <v>0</v>
      </c>
      <c r="J11" s="60">
        <v>0</v>
      </c>
      <c r="K11" s="60">
        <v>0</v>
      </c>
      <c r="L11" s="60">
        <v>0</v>
      </c>
      <c r="M11" s="60">
        <v>0</v>
      </c>
      <c r="N11" s="91">
        <f>SUM(N8:N10)</f>
        <v>926750</v>
      </c>
      <c r="O11" s="91">
        <f t="shared" ref="O11:AE11" si="4">SUM(O8:O10)</f>
        <v>926750</v>
      </c>
      <c r="P11" s="91">
        <f t="shared" si="4"/>
        <v>926750</v>
      </c>
      <c r="Q11" s="91">
        <f t="shared" si="4"/>
        <v>926750</v>
      </c>
      <c r="R11" s="91">
        <f t="shared" si="4"/>
        <v>926750</v>
      </c>
      <c r="S11" s="91">
        <f t="shared" si="4"/>
        <v>930750</v>
      </c>
      <c r="T11" s="91">
        <f t="shared" si="4"/>
        <v>930750</v>
      </c>
      <c r="U11" s="91">
        <f t="shared" si="4"/>
        <v>930750</v>
      </c>
      <c r="V11" s="91">
        <f t="shared" si="4"/>
        <v>930750</v>
      </c>
      <c r="W11" s="91">
        <f t="shared" si="4"/>
        <v>930750</v>
      </c>
      <c r="X11" s="91">
        <f t="shared" si="4"/>
        <v>930750</v>
      </c>
      <c r="Y11" s="91">
        <f t="shared" si="4"/>
        <v>930750</v>
      </c>
      <c r="Z11" s="91">
        <f t="shared" si="4"/>
        <v>930750</v>
      </c>
      <c r="AA11" s="91">
        <f t="shared" si="4"/>
        <v>930750</v>
      </c>
      <c r="AB11" s="91">
        <f t="shared" si="4"/>
        <v>930750</v>
      </c>
      <c r="AC11" s="91">
        <f t="shared" si="4"/>
        <v>930750</v>
      </c>
      <c r="AD11" s="91">
        <f t="shared" si="4"/>
        <v>930750</v>
      </c>
      <c r="AE11" s="91">
        <f t="shared" si="4"/>
        <v>930750</v>
      </c>
      <c r="AF11" s="91">
        <f t="shared" ref="AF11:AG11" si="5">SUM(AF8:AF10)</f>
        <v>930750</v>
      </c>
      <c r="AG11" s="91">
        <f t="shared" si="5"/>
        <v>930750</v>
      </c>
      <c r="AJ11" s="248"/>
    </row>
    <row r="12" spans="2:36" ht="13.5" customHeight="1" x14ac:dyDescent="0.25">
      <c r="B12" s="291"/>
      <c r="C12" s="63" t="s">
        <v>313</v>
      </c>
      <c r="D12" s="50" t="s">
        <v>314</v>
      </c>
      <c r="E12" s="51" t="s">
        <v>529</v>
      </c>
      <c r="F12" s="203">
        <v>46880000</v>
      </c>
      <c r="G12" s="203">
        <v>46880000</v>
      </c>
      <c r="H12" s="203">
        <v>46880000</v>
      </c>
      <c r="I12" s="203">
        <v>46880000</v>
      </c>
      <c r="J12" s="203">
        <v>46880000</v>
      </c>
      <c r="K12" s="203">
        <v>46880000</v>
      </c>
      <c r="L12" s="203">
        <v>46880000</v>
      </c>
      <c r="M12" s="203">
        <v>46880000</v>
      </c>
      <c r="N12" s="203">
        <v>46880000</v>
      </c>
      <c r="O12" s="203">
        <v>46880000</v>
      </c>
      <c r="P12" s="203">
        <v>46880000</v>
      </c>
      <c r="Q12" s="203">
        <v>46880000</v>
      </c>
      <c r="R12" s="203">
        <v>46880000</v>
      </c>
      <c r="S12" s="203">
        <v>46880000</v>
      </c>
      <c r="T12" s="203">
        <v>46880000</v>
      </c>
      <c r="U12" s="203">
        <v>46880000</v>
      </c>
      <c r="V12" s="203">
        <v>46880000</v>
      </c>
      <c r="W12" s="203">
        <v>46880000</v>
      </c>
      <c r="X12" s="203">
        <v>46880000</v>
      </c>
      <c r="Y12" s="203">
        <v>46880000</v>
      </c>
      <c r="Z12" s="203">
        <v>46880000</v>
      </c>
      <c r="AA12" s="203">
        <v>46880000</v>
      </c>
      <c r="AB12" s="203">
        <v>46880000</v>
      </c>
      <c r="AC12" s="203">
        <v>46880000</v>
      </c>
      <c r="AD12" s="203">
        <v>46880000</v>
      </c>
      <c r="AE12" s="203">
        <v>46880000</v>
      </c>
      <c r="AF12" s="203">
        <v>46880000</v>
      </c>
      <c r="AG12" s="203">
        <v>46880000</v>
      </c>
      <c r="AJ12" s="214" t="s">
        <v>790</v>
      </c>
    </row>
    <row r="13" spans="2:36" ht="4.5" customHeight="1" x14ac:dyDescent="0.25">
      <c r="B13" s="5"/>
      <c r="C13" s="5"/>
      <c r="N13" s="5"/>
      <c r="O13" s="5"/>
      <c r="P13" s="5"/>
      <c r="Q13" s="5"/>
      <c r="R13" s="5"/>
      <c r="S13" s="5"/>
      <c r="T13" s="5"/>
      <c r="U13" s="5"/>
      <c r="V13" s="5"/>
      <c r="W13" s="5"/>
      <c r="X13" s="5"/>
      <c r="Y13" s="5"/>
      <c r="Z13" s="5"/>
      <c r="AA13" s="5"/>
      <c r="AB13" s="5"/>
    </row>
    <row r="14" spans="2:36" ht="13.5" customHeight="1" x14ac:dyDescent="0.25">
      <c r="B14" s="291" t="s">
        <v>315</v>
      </c>
      <c r="C14" s="63" t="s">
        <v>316</v>
      </c>
      <c r="D14" s="50" t="s">
        <v>317</v>
      </c>
      <c r="E14" s="51" t="s">
        <v>318</v>
      </c>
      <c r="F14" s="36">
        <v>0</v>
      </c>
      <c r="G14" s="36">
        <v>0</v>
      </c>
      <c r="H14" s="36">
        <v>0</v>
      </c>
      <c r="I14" s="36">
        <v>0</v>
      </c>
      <c r="J14" s="36">
        <v>0</v>
      </c>
      <c r="K14" s="36">
        <v>0</v>
      </c>
      <c r="L14" s="36">
        <v>0</v>
      </c>
      <c r="M14" s="36">
        <v>0</v>
      </c>
      <c r="N14" s="11">
        <v>-1</v>
      </c>
      <c r="O14" s="11">
        <v>-1</v>
      </c>
      <c r="P14" s="11">
        <v>-1</v>
      </c>
      <c r="Q14" s="11">
        <v>-1</v>
      </c>
      <c r="R14" s="11">
        <v>-1</v>
      </c>
      <c r="S14" s="11">
        <v>-1</v>
      </c>
      <c r="T14" s="11">
        <v>-1</v>
      </c>
      <c r="U14" s="11">
        <v>-1</v>
      </c>
      <c r="V14" s="11">
        <v>-1</v>
      </c>
      <c r="W14" s="11">
        <v>-1</v>
      </c>
      <c r="X14" s="11">
        <v>-1</v>
      </c>
      <c r="Y14" s="11">
        <v>-1</v>
      </c>
      <c r="Z14" s="11">
        <v>-1</v>
      </c>
      <c r="AA14" s="11">
        <v>-1</v>
      </c>
      <c r="AB14" s="11">
        <v>-1</v>
      </c>
      <c r="AC14" s="11">
        <v>-1</v>
      </c>
      <c r="AD14" s="11">
        <v>-1</v>
      </c>
      <c r="AE14" s="11">
        <v>-1</v>
      </c>
      <c r="AF14" s="11">
        <v>-1</v>
      </c>
      <c r="AG14" s="11">
        <v>-1</v>
      </c>
    </row>
    <row r="15" spans="2:36" ht="13.5" customHeight="1" x14ac:dyDescent="0.25">
      <c r="B15" s="291"/>
      <c r="C15" s="63" t="s">
        <v>319</v>
      </c>
      <c r="D15" s="50" t="s">
        <v>320</v>
      </c>
      <c r="E15" s="51" t="s">
        <v>318</v>
      </c>
      <c r="F15" s="36">
        <v>0</v>
      </c>
      <c r="G15" s="36">
        <v>0</v>
      </c>
      <c r="H15" s="36">
        <v>0</v>
      </c>
      <c r="I15" s="36">
        <v>0</v>
      </c>
      <c r="J15" s="36">
        <v>0</v>
      </c>
      <c r="K15" s="36">
        <v>0</v>
      </c>
      <c r="L15" s="36">
        <v>0</v>
      </c>
      <c r="M15" s="36">
        <v>0</v>
      </c>
      <c r="N15" s="11">
        <v>-9.9600000000000009</v>
      </c>
      <c r="O15" s="11">
        <v>-9.9600000000000009</v>
      </c>
      <c r="P15" s="11">
        <v>-9.9600000000000009</v>
      </c>
      <c r="Q15" s="11">
        <v>-9.9600000000000009</v>
      </c>
      <c r="R15" s="11">
        <v>-9.9600000000000009</v>
      </c>
      <c r="S15" s="11">
        <v>-9.9600000000000009</v>
      </c>
      <c r="T15" s="11">
        <v>-9.9600000000000009</v>
      </c>
      <c r="U15" s="11">
        <v>-9.9600000000000009</v>
      </c>
      <c r="V15" s="11">
        <v>-9.9600000000000009</v>
      </c>
      <c r="W15" s="11">
        <v>-9.9600000000000009</v>
      </c>
      <c r="X15" s="11">
        <v>-9.9600000000000009</v>
      </c>
      <c r="Y15" s="11">
        <v>-9.9600000000000009</v>
      </c>
      <c r="Z15" s="11">
        <v>-9.9600000000000009</v>
      </c>
      <c r="AA15" s="11">
        <v>-9.9600000000000009</v>
      </c>
      <c r="AB15" s="11">
        <v>-9.9600000000000009</v>
      </c>
      <c r="AC15" s="11">
        <v>-9.9600000000000009</v>
      </c>
      <c r="AD15" s="11">
        <v>-9.9600000000000009</v>
      </c>
      <c r="AE15" s="11">
        <v>-9.9600000000000009</v>
      </c>
      <c r="AF15" s="11">
        <v>-9.9600000000000009</v>
      </c>
      <c r="AG15" s="11">
        <v>-9.9600000000000009</v>
      </c>
    </row>
    <row r="16" spans="2:36" ht="13.5" customHeight="1" x14ac:dyDescent="0.25">
      <c r="B16" s="291"/>
      <c r="C16" s="63" t="s">
        <v>321</v>
      </c>
      <c r="D16" s="50" t="s">
        <v>322</v>
      </c>
      <c r="E16" s="51" t="s">
        <v>318</v>
      </c>
      <c r="F16" s="36">
        <v>0</v>
      </c>
      <c r="G16" s="36">
        <v>0</v>
      </c>
      <c r="H16" s="36">
        <v>0</v>
      </c>
      <c r="I16" s="36">
        <v>0</v>
      </c>
      <c r="J16" s="36">
        <v>0</v>
      </c>
      <c r="K16" s="36">
        <v>0</v>
      </c>
      <c r="L16" s="36">
        <v>0</v>
      </c>
      <c r="M16" s="36">
        <v>0</v>
      </c>
      <c r="N16" s="11">
        <v>0</v>
      </c>
      <c r="O16" s="11">
        <v>0</v>
      </c>
      <c r="P16" s="11">
        <v>0</v>
      </c>
      <c r="Q16" s="11">
        <v>0</v>
      </c>
      <c r="R16" s="11">
        <v>0</v>
      </c>
      <c r="S16" s="11">
        <v>0</v>
      </c>
      <c r="T16" s="11">
        <v>0</v>
      </c>
      <c r="U16" s="11">
        <v>0</v>
      </c>
      <c r="V16" s="11">
        <v>0</v>
      </c>
      <c r="W16" s="11">
        <v>0</v>
      </c>
      <c r="X16" s="11">
        <v>0</v>
      </c>
      <c r="Y16" s="11">
        <v>0</v>
      </c>
      <c r="Z16" s="11">
        <v>0</v>
      </c>
      <c r="AA16" s="11">
        <v>0</v>
      </c>
      <c r="AB16" s="11">
        <v>0</v>
      </c>
      <c r="AC16" s="11">
        <v>0</v>
      </c>
      <c r="AD16" s="11">
        <v>0</v>
      </c>
      <c r="AE16" s="11">
        <v>0</v>
      </c>
      <c r="AF16" s="11">
        <v>0</v>
      </c>
      <c r="AG16" s="11">
        <v>0</v>
      </c>
    </row>
    <row r="17" spans="2:36" ht="13.5" customHeight="1" x14ac:dyDescent="0.25">
      <c r="B17" s="291"/>
      <c r="C17" s="63" t="s">
        <v>323</v>
      </c>
      <c r="D17" s="51" t="s">
        <v>324</v>
      </c>
      <c r="E17" s="51" t="s">
        <v>318</v>
      </c>
      <c r="F17" s="36">
        <v>0</v>
      </c>
      <c r="G17" s="36">
        <v>0</v>
      </c>
      <c r="H17" s="36">
        <v>0</v>
      </c>
      <c r="I17" s="36">
        <v>0</v>
      </c>
      <c r="J17" s="36">
        <v>0</v>
      </c>
      <c r="K17" s="36">
        <v>0</v>
      </c>
      <c r="L17" s="36">
        <v>0</v>
      </c>
      <c r="M17" s="36">
        <v>0</v>
      </c>
      <c r="N17" s="11">
        <v>-7.99</v>
      </c>
      <c r="O17" s="11">
        <v>-7.99</v>
      </c>
      <c r="P17" s="11">
        <v>-7.99</v>
      </c>
      <c r="Q17" s="11">
        <v>-7.99</v>
      </c>
      <c r="R17" s="11">
        <v>-7.99</v>
      </c>
      <c r="S17" s="11">
        <v>-7.99</v>
      </c>
      <c r="T17" s="11">
        <v>-7.99</v>
      </c>
      <c r="U17" s="11">
        <v>-7.99</v>
      </c>
      <c r="V17" s="11">
        <v>-7.99</v>
      </c>
      <c r="W17" s="11">
        <v>-7.99</v>
      </c>
      <c r="X17" s="11">
        <v>-7.99</v>
      </c>
      <c r="Y17" s="11">
        <v>-7.99</v>
      </c>
      <c r="Z17" s="11">
        <v>-7.99</v>
      </c>
      <c r="AA17" s="11">
        <v>-7.99</v>
      </c>
      <c r="AB17" s="11">
        <v>-7.99</v>
      </c>
      <c r="AC17" s="11">
        <v>-7.99</v>
      </c>
      <c r="AD17" s="11">
        <v>-7.99</v>
      </c>
      <c r="AE17" s="11">
        <v>-7.99</v>
      </c>
      <c r="AF17" s="11">
        <v>-7.99</v>
      </c>
      <c r="AG17" s="11">
        <v>-7.99</v>
      </c>
    </row>
    <row r="18" spans="2:36" ht="13.5" customHeight="1" x14ac:dyDescent="0.25">
      <c r="B18" s="291"/>
      <c r="C18" s="63" t="s">
        <v>325</v>
      </c>
      <c r="D18" s="50" t="s">
        <v>326</v>
      </c>
      <c r="E18" s="51" t="s">
        <v>318</v>
      </c>
      <c r="F18" s="36">
        <v>0</v>
      </c>
      <c r="G18" s="36">
        <v>0</v>
      </c>
      <c r="H18" s="36">
        <v>0</v>
      </c>
      <c r="I18" s="36">
        <v>0</v>
      </c>
      <c r="J18" s="36">
        <v>0</v>
      </c>
      <c r="K18" s="36">
        <v>0</v>
      </c>
      <c r="L18" s="36">
        <v>0</v>
      </c>
      <c r="M18" s="36">
        <v>0</v>
      </c>
      <c r="N18" s="11">
        <v>-0.7</v>
      </c>
      <c r="O18" s="11">
        <v>-0.7</v>
      </c>
      <c r="P18" s="11">
        <v>-0.7</v>
      </c>
      <c r="Q18" s="11">
        <v>-0.7</v>
      </c>
      <c r="R18" s="11">
        <v>-0.7</v>
      </c>
      <c r="S18" s="11">
        <v>-0.7</v>
      </c>
      <c r="T18" s="11">
        <v>-0.7</v>
      </c>
      <c r="U18" s="11">
        <v>-0.7</v>
      </c>
      <c r="V18" s="11">
        <v>-0.7</v>
      </c>
      <c r="W18" s="11">
        <v>-0.7</v>
      </c>
      <c r="X18" s="11">
        <v>-0.7</v>
      </c>
      <c r="Y18" s="11">
        <v>-0.7</v>
      </c>
      <c r="Z18" s="11">
        <v>-0.7</v>
      </c>
      <c r="AA18" s="11">
        <v>-0.7</v>
      </c>
      <c r="AB18" s="11">
        <v>-0.7</v>
      </c>
      <c r="AC18" s="11">
        <v>-0.7</v>
      </c>
      <c r="AD18" s="11">
        <v>-0.7</v>
      </c>
      <c r="AE18" s="11">
        <v>-0.7</v>
      </c>
      <c r="AF18" s="11">
        <v>-0.7</v>
      </c>
      <c r="AG18" s="11">
        <v>-0.7</v>
      </c>
      <c r="AH18" s="11"/>
    </row>
    <row r="19" spans="2:36" ht="4.5" customHeight="1" x14ac:dyDescent="0.25">
      <c r="B19" s="5"/>
      <c r="C19" s="5"/>
      <c r="N19" s="9"/>
      <c r="O19" s="9"/>
      <c r="P19" s="9"/>
      <c r="Q19" s="9"/>
      <c r="R19" s="9"/>
      <c r="S19" s="9"/>
      <c r="T19" s="9"/>
      <c r="U19" s="9"/>
      <c r="V19" s="9"/>
      <c r="W19" s="9"/>
      <c r="X19" s="9"/>
      <c r="Y19" s="9"/>
      <c r="Z19" s="9"/>
      <c r="AA19" s="9"/>
      <c r="AB19" s="9"/>
      <c r="AC19" s="9"/>
      <c r="AD19" s="9"/>
      <c r="AE19" s="9"/>
      <c r="AF19" s="9"/>
      <c r="AG19" s="9"/>
      <c r="AH19" s="9"/>
    </row>
    <row r="20" spans="2:36" ht="13.5" customHeight="1" x14ac:dyDescent="0.25">
      <c r="B20" s="284" t="s">
        <v>206</v>
      </c>
      <c r="C20" s="55" t="s">
        <v>207</v>
      </c>
      <c r="D20" s="51" t="s">
        <v>208</v>
      </c>
      <c r="E20" s="51" t="s">
        <v>486</v>
      </c>
      <c r="F20" s="32">
        <v>0</v>
      </c>
      <c r="G20" s="32">
        <v>0</v>
      </c>
      <c r="H20" s="32">
        <v>0</v>
      </c>
      <c r="I20" s="32">
        <v>0</v>
      </c>
      <c r="J20" s="32">
        <v>0</v>
      </c>
      <c r="K20" s="32">
        <v>0</v>
      </c>
      <c r="L20" s="32">
        <v>0</v>
      </c>
      <c r="M20" s="32">
        <v>0</v>
      </c>
      <c r="N20" s="11"/>
      <c r="O20" s="11"/>
      <c r="P20" s="11"/>
      <c r="Q20" s="11"/>
      <c r="R20" s="11"/>
      <c r="S20" s="11"/>
      <c r="T20" s="11"/>
      <c r="U20" s="11"/>
      <c r="V20" s="11"/>
      <c r="W20" s="11"/>
      <c r="X20" s="11"/>
      <c r="Y20" s="11"/>
      <c r="Z20" s="11"/>
      <c r="AA20" s="11"/>
      <c r="AB20" s="11"/>
      <c r="AC20" s="11"/>
      <c r="AD20" s="11"/>
      <c r="AE20" s="11"/>
      <c r="AF20" s="11"/>
      <c r="AG20" s="11"/>
      <c r="AH20" s="9"/>
    </row>
    <row r="21" spans="2:36" ht="13.5" customHeight="1" x14ac:dyDescent="0.25">
      <c r="B21" s="284"/>
      <c r="C21" s="55" t="s">
        <v>209</v>
      </c>
      <c r="D21" s="51" t="s">
        <v>210</v>
      </c>
      <c r="E21" s="51" t="s">
        <v>486</v>
      </c>
      <c r="F21" s="32">
        <v>0</v>
      </c>
      <c r="G21" s="32">
        <v>0</v>
      </c>
      <c r="H21" s="32">
        <v>0</v>
      </c>
      <c r="I21" s="32">
        <v>0</v>
      </c>
      <c r="J21" s="32">
        <v>0</v>
      </c>
      <c r="K21" s="32">
        <v>0</v>
      </c>
      <c r="L21" s="32">
        <v>0</v>
      </c>
      <c r="M21" s="32">
        <v>0</v>
      </c>
      <c r="N21" s="11"/>
      <c r="O21" s="11"/>
      <c r="P21" s="11"/>
      <c r="Q21" s="11"/>
      <c r="R21" s="11"/>
      <c r="S21" s="11"/>
      <c r="T21" s="11"/>
      <c r="U21" s="11"/>
      <c r="V21" s="11"/>
      <c r="W21" s="11"/>
      <c r="X21" s="11"/>
      <c r="Y21" s="11"/>
      <c r="Z21" s="11"/>
      <c r="AA21" s="11"/>
      <c r="AB21" s="11"/>
      <c r="AC21" s="11"/>
      <c r="AD21" s="11"/>
      <c r="AE21" s="11"/>
      <c r="AF21" s="11"/>
      <c r="AG21" s="11"/>
      <c r="AH21" s="9"/>
    </row>
    <row r="22" spans="2:36" ht="13.5" customHeight="1" x14ac:dyDescent="0.25">
      <c r="B22" s="284"/>
      <c r="C22" s="55" t="s">
        <v>211</v>
      </c>
      <c r="D22" s="51" t="s">
        <v>212</v>
      </c>
      <c r="E22" s="51" t="s">
        <v>486</v>
      </c>
      <c r="F22" s="32">
        <v>0</v>
      </c>
      <c r="G22" s="32">
        <v>0</v>
      </c>
      <c r="H22" s="32">
        <v>0</v>
      </c>
      <c r="I22" s="32">
        <v>0</v>
      </c>
      <c r="J22" s="32">
        <v>0</v>
      </c>
      <c r="K22" s="32">
        <v>0</v>
      </c>
      <c r="L22" s="32">
        <v>0</v>
      </c>
      <c r="M22" s="32">
        <v>0</v>
      </c>
      <c r="N22" s="11"/>
      <c r="O22" s="11"/>
      <c r="P22" s="11"/>
      <c r="Q22" s="11"/>
      <c r="R22" s="11"/>
      <c r="S22" s="11"/>
      <c r="T22" s="11"/>
      <c r="U22" s="11"/>
      <c r="V22" s="11"/>
      <c r="W22" s="11"/>
      <c r="X22" s="11"/>
      <c r="Y22" s="11"/>
      <c r="Z22" s="11"/>
      <c r="AA22" s="11"/>
      <c r="AB22" s="11"/>
      <c r="AC22" s="11"/>
      <c r="AD22" s="11"/>
      <c r="AE22" s="11"/>
      <c r="AF22" s="11"/>
      <c r="AG22" s="11"/>
      <c r="AH22" s="9"/>
    </row>
    <row r="23" spans="2:36" ht="13.5" customHeight="1" x14ac:dyDescent="0.25">
      <c r="B23" s="284"/>
      <c r="C23" s="55" t="s">
        <v>213</v>
      </c>
      <c r="D23" s="51" t="s">
        <v>214</v>
      </c>
      <c r="E23" s="51" t="s">
        <v>486</v>
      </c>
      <c r="F23" s="32">
        <v>0</v>
      </c>
      <c r="G23" s="32">
        <v>0</v>
      </c>
      <c r="H23" s="32">
        <v>0</v>
      </c>
      <c r="I23" s="32">
        <v>0</v>
      </c>
      <c r="J23" s="32">
        <v>0</v>
      </c>
      <c r="K23" s="32">
        <v>0</v>
      </c>
      <c r="L23" s="32">
        <v>0</v>
      </c>
      <c r="M23" s="32">
        <v>0</v>
      </c>
      <c r="N23" s="11">
        <f>'3.2 Linee TPL'!L30</f>
        <v>7193787.5520000001</v>
      </c>
      <c r="O23" s="11">
        <f>N23</f>
        <v>7193787.5520000001</v>
      </c>
      <c r="P23" s="11">
        <f t="shared" ref="P23:AE23" si="6">O23</f>
        <v>7193787.5520000001</v>
      </c>
      <c r="Q23" s="11">
        <f t="shared" si="6"/>
        <v>7193787.5520000001</v>
      </c>
      <c r="R23" s="11">
        <f t="shared" si="6"/>
        <v>7193787.5520000001</v>
      </c>
      <c r="S23" s="11">
        <f t="shared" si="6"/>
        <v>7193787.5520000001</v>
      </c>
      <c r="T23" s="11">
        <f t="shared" si="6"/>
        <v>7193787.5520000001</v>
      </c>
      <c r="U23" s="11">
        <f t="shared" si="6"/>
        <v>7193787.5520000001</v>
      </c>
      <c r="V23" s="11">
        <f t="shared" si="6"/>
        <v>7193787.5520000001</v>
      </c>
      <c r="W23" s="11">
        <f t="shared" si="6"/>
        <v>7193787.5520000001</v>
      </c>
      <c r="X23" s="11">
        <f t="shared" si="6"/>
        <v>7193787.5520000001</v>
      </c>
      <c r="Y23" s="11">
        <f t="shared" si="6"/>
        <v>7193787.5520000001</v>
      </c>
      <c r="Z23" s="11">
        <f t="shared" si="6"/>
        <v>7193787.5520000001</v>
      </c>
      <c r="AA23" s="11">
        <f t="shared" si="6"/>
        <v>7193787.5520000001</v>
      </c>
      <c r="AB23" s="11">
        <f t="shared" si="6"/>
        <v>7193787.5520000001</v>
      </c>
      <c r="AC23" s="11">
        <f t="shared" si="6"/>
        <v>7193787.5520000001</v>
      </c>
      <c r="AD23" s="11">
        <f t="shared" si="6"/>
        <v>7193787.5520000001</v>
      </c>
      <c r="AE23" s="11">
        <f t="shared" si="6"/>
        <v>7193787.5520000001</v>
      </c>
      <c r="AF23" s="11">
        <f t="shared" ref="AF23" si="7">AE23</f>
        <v>7193787.5520000001</v>
      </c>
      <c r="AG23" s="11">
        <f t="shared" ref="AG23:AG25" si="8">AF23</f>
        <v>7193787.5520000001</v>
      </c>
    </row>
    <row r="24" spans="2:36" ht="13.5" customHeight="1" x14ac:dyDescent="0.25">
      <c r="B24" s="284"/>
      <c r="C24" s="55" t="s">
        <v>215</v>
      </c>
      <c r="D24" s="51" t="s">
        <v>216</v>
      </c>
      <c r="E24" s="51" t="s">
        <v>486</v>
      </c>
      <c r="F24" s="32">
        <v>0</v>
      </c>
      <c r="G24" s="32">
        <v>0</v>
      </c>
      <c r="H24" s="32">
        <v>0</v>
      </c>
      <c r="I24" s="32">
        <v>0</v>
      </c>
      <c r="J24" s="32">
        <v>0</v>
      </c>
      <c r="K24" s="32">
        <v>0</v>
      </c>
      <c r="L24" s="32">
        <v>0</v>
      </c>
      <c r="M24" s="32">
        <v>0</v>
      </c>
      <c r="N24" s="11">
        <f>-(117231)*0.8</f>
        <v>-93784.8</v>
      </c>
      <c r="O24" s="11">
        <f t="shared" ref="O24:AG24" si="9">-(117231)*0.8</f>
        <v>-93784.8</v>
      </c>
      <c r="P24" s="11">
        <f t="shared" si="9"/>
        <v>-93784.8</v>
      </c>
      <c r="Q24" s="11">
        <f t="shared" si="9"/>
        <v>-93784.8</v>
      </c>
      <c r="R24" s="11">
        <f t="shared" si="9"/>
        <v>-93784.8</v>
      </c>
      <c r="S24" s="11">
        <f t="shared" si="9"/>
        <v>-93784.8</v>
      </c>
      <c r="T24" s="11">
        <f t="shared" si="9"/>
        <v>-93784.8</v>
      </c>
      <c r="U24" s="11">
        <f t="shared" si="9"/>
        <v>-93784.8</v>
      </c>
      <c r="V24" s="11">
        <f t="shared" si="9"/>
        <v>-93784.8</v>
      </c>
      <c r="W24" s="11">
        <f t="shared" si="9"/>
        <v>-93784.8</v>
      </c>
      <c r="X24" s="11">
        <f t="shared" si="9"/>
        <v>-93784.8</v>
      </c>
      <c r="Y24" s="11">
        <f t="shared" si="9"/>
        <v>-93784.8</v>
      </c>
      <c r="Z24" s="11">
        <f t="shared" si="9"/>
        <v>-93784.8</v>
      </c>
      <c r="AA24" s="11">
        <f t="shared" si="9"/>
        <v>-93784.8</v>
      </c>
      <c r="AB24" s="11">
        <f t="shared" si="9"/>
        <v>-93784.8</v>
      </c>
      <c r="AC24" s="11">
        <f t="shared" si="9"/>
        <v>-93784.8</v>
      </c>
      <c r="AD24" s="11">
        <f t="shared" si="9"/>
        <v>-93784.8</v>
      </c>
      <c r="AE24" s="11">
        <f t="shared" si="9"/>
        <v>-93784.8</v>
      </c>
      <c r="AF24" s="11">
        <f t="shared" si="9"/>
        <v>-93784.8</v>
      </c>
      <c r="AG24" s="11">
        <f t="shared" si="9"/>
        <v>-93784.8</v>
      </c>
      <c r="AJ24" s="214" t="s">
        <v>757</v>
      </c>
    </row>
    <row r="25" spans="2:36" ht="13.5" customHeight="1" x14ac:dyDescent="0.25">
      <c r="B25" s="284"/>
      <c r="C25" s="55" t="s">
        <v>217</v>
      </c>
      <c r="D25" s="51" t="s">
        <v>218</v>
      </c>
      <c r="E25" s="51" t="s">
        <v>486</v>
      </c>
      <c r="F25" s="32">
        <v>0</v>
      </c>
      <c r="G25" s="32">
        <v>0</v>
      </c>
      <c r="H25" s="32">
        <v>0</v>
      </c>
      <c r="I25" s="32">
        <v>0</v>
      </c>
      <c r="J25" s="32">
        <v>0</v>
      </c>
      <c r="K25" s="32">
        <v>0</v>
      </c>
      <c r="L25" s="32">
        <v>0</v>
      </c>
      <c r="M25" s="32">
        <v>0</v>
      </c>
      <c r="N25" s="11">
        <v>-5745300</v>
      </c>
      <c r="O25" s="11">
        <f>N25</f>
        <v>-5745300</v>
      </c>
      <c r="P25" s="11">
        <f t="shared" ref="P25:AE25" si="10">O25</f>
        <v>-5745300</v>
      </c>
      <c r="Q25" s="11">
        <f t="shared" si="10"/>
        <v>-5745300</v>
      </c>
      <c r="R25" s="11">
        <f t="shared" si="10"/>
        <v>-5745300</v>
      </c>
      <c r="S25" s="11">
        <f t="shared" si="10"/>
        <v>-5745300</v>
      </c>
      <c r="T25" s="11">
        <f t="shared" si="10"/>
        <v>-5745300</v>
      </c>
      <c r="U25" s="11">
        <f t="shared" si="10"/>
        <v>-5745300</v>
      </c>
      <c r="V25" s="11">
        <f t="shared" si="10"/>
        <v>-5745300</v>
      </c>
      <c r="W25" s="11">
        <f t="shared" si="10"/>
        <v>-5745300</v>
      </c>
      <c r="X25" s="11">
        <f t="shared" si="10"/>
        <v>-5745300</v>
      </c>
      <c r="Y25" s="11">
        <f t="shared" si="10"/>
        <v>-5745300</v>
      </c>
      <c r="Z25" s="11">
        <f t="shared" si="10"/>
        <v>-5745300</v>
      </c>
      <c r="AA25" s="11">
        <f t="shared" si="10"/>
        <v>-5745300</v>
      </c>
      <c r="AB25" s="11">
        <f t="shared" si="10"/>
        <v>-5745300</v>
      </c>
      <c r="AC25" s="11">
        <f t="shared" si="10"/>
        <v>-5745300</v>
      </c>
      <c r="AD25" s="11">
        <f t="shared" si="10"/>
        <v>-5745300</v>
      </c>
      <c r="AE25" s="11">
        <f t="shared" si="10"/>
        <v>-5745300</v>
      </c>
      <c r="AF25" s="11">
        <f t="shared" ref="AF25" si="11">AE25</f>
        <v>-5745300</v>
      </c>
      <c r="AG25" s="11">
        <f t="shared" si="8"/>
        <v>-5745300</v>
      </c>
    </row>
    <row r="26" spans="2:36" ht="13.5" customHeight="1" x14ac:dyDescent="0.25">
      <c r="B26" s="284"/>
      <c r="C26" s="55" t="s">
        <v>219</v>
      </c>
      <c r="D26" s="51" t="s">
        <v>220</v>
      </c>
      <c r="E26" s="51" t="s">
        <v>486</v>
      </c>
      <c r="F26" s="32">
        <v>0</v>
      </c>
      <c r="G26" s="32">
        <v>0</v>
      </c>
      <c r="H26" s="32">
        <v>0</v>
      </c>
      <c r="I26" s="32">
        <v>0</v>
      </c>
      <c r="J26" s="32">
        <v>0</v>
      </c>
      <c r="K26" s="32">
        <v>0</v>
      </c>
      <c r="L26" s="32">
        <v>0</v>
      </c>
      <c r="M26" s="32">
        <v>0</v>
      </c>
      <c r="N26" s="11"/>
      <c r="O26" s="11"/>
      <c r="P26" s="11"/>
      <c r="Q26" s="11"/>
      <c r="R26" s="11"/>
      <c r="S26" s="11"/>
      <c r="T26" s="11"/>
      <c r="U26" s="11"/>
      <c r="V26" s="11"/>
      <c r="W26" s="11"/>
      <c r="X26" s="11"/>
      <c r="Y26" s="11"/>
      <c r="Z26" s="11"/>
      <c r="AA26" s="11"/>
      <c r="AB26" s="11"/>
      <c r="AC26" s="11"/>
      <c r="AD26" s="11"/>
      <c r="AE26" s="11"/>
      <c r="AF26" s="11"/>
      <c r="AG26" s="11"/>
    </row>
    <row r="27" spans="2:36" ht="4.5" customHeight="1" x14ac:dyDescent="0.25">
      <c r="B27" s="5"/>
      <c r="C27" s="5"/>
      <c r="N27" s="5"/>
      <c r="O27" s="5"/>
      <c r="P27" s="5"/>
      <c r="Q27" s="5"/>
      <c r="R27" s="5"/>
      <c r="S27" s="5"/>
      <c r="T27" s="5"/>
      <c r="U27" s="5"/>
      <c r="V27" s="5"/>
      <c r="W27" s="5"/>
      <c r="X27" s="5"/>
      <c r="Y27" s="5"/>
      <c r="Z27" s="5"/>
      <c r="AA27" s="5"/>
      <c r="AB27" s="5"/>
    </row>
    <row r="28" spans="2:36" ht="13.5" customHeight="1" x14ac:dyDescent="0.25">
      <c r="B28" s="291" t="s">
        <v>585</v>
      </c>
      <c r="C28" s="55" t="s">
        <v>221</v>
      </c>
      <c r="D28" s="51" t="s">
        <v>222</v>
      </c>
      <c r="E28" s="51" t="s">
        <v>616</v>
      </c>
      <c r="F28" s="90">
        <f>+'3.7 Costi d''Esercizio'!$I$24</f>
        <v>0</v>
      </c>
      <c r="G28" s="90">
        <f>+$F28</f>
        <v>0</v>
      </c>
      <c r="H28" s="90">
        <f t="shared" ref="H28:K28" si="12">+$F28</f>
        <v>0</v>
      </c>
      <c r="I28" s="90">
        <f t="shared" si="12"/>
        <v>0</v>
      </c>
      <c r="J28" s="90">
        <f t="shared" si="12"/>
        <v>0</v>
      </c>
      <c r="K28" s="90">
        <f t="shared" si="12"/>
        <v>0</v>
      </c>
      <c r="L28" s="90">
        <f t="shared" ref="L28:AG28" si="13">+$F28</f>
        <v>0</v>
      </c>
      <c r="M28" s="90">
        <f t="shared" si="13"/>
        <v>0</v>
      </c>
      <c r="N28" s="90">
        <f t="shared" si="13"/>
        <v>0</v>
      </c>
      <c r="O28" s="90"/>
      <c r="P28" s="90"/>
      <c r="Q28" s="90"/>
      <c r="R28" s="90"/>
      <c r="S28" s="90"/>
      <c r="T28" s="90"/>
      <c r="U28" s="90"/>
      <c r="V28" s="90"/>
      <c r="W28" s="90"/>
      <c r="X28" s="90"/>
      <c r="Y28" s="90"/>
      <c r="Z28" s="90"/>
      <c r="AA28" s="90"/>
      <c r="AB28" s="90"/>
      <c r="AC28" s="90">
        <f t="shared" si="13"/>
        <v>0</v>
      </c>
      <c r="AD28" s="90">
        <f t="shared" si="13"/>
        <v>0</v>
      </c>
      <c r="AE28" s="90">
        <f t="shared" si="13"/>
        <v>0</v>
      </c>
      <c r="AF28" s="90">
        <f t="shared" si="13"/>
        <v>0</v>
      </c>
      <c r="AG28" s="90">
        <f t="shared" si="13"/>
        <v>0</v>
      </c>
    </row>
    <row r="29" spans="2:36" ht="13.5" customHeight="1" x14ac:dyDescent="0.25">
      <c r="B29" s="291"/>
      <c r="C29" s="55" t="s">
        <v>223</v>
      </c>
      <c r="D29" s="51" t="s">
        <v>224</v>
      </c>
      <c r="E29" s="51" t="s">
        <v>616</v>
      </c>
      <c r="F29" s="90">
        <f>+'3.7 Costi d''Esercizio'!$I$24</f>
        <v>0</v>
      </c>
      <c r="G29" s="90">
        <f t="shared" ref="G29:AG34" si="14">+$F29</f>
        <v>0</v>
      </c>
      <c r="H29" s="90">
        <f t="shared" si="14"/>
        <v>0</v>
      </c>
      <c r="I29" s="90">
        <f t="shared" si="14"/>
        <v>0</v>
      </c>
      <c r="J29" s="90">
        <f t="shared" si="14"/>
        <v>0</v>
      </c>
      <c r="K29" s="90">
        <f t="shared" si="14"/>
        <v>0</v>
      </c>
      <c r="L29" s="90">
        <f t="shared" si="14"/>
        <v>0</v>
      </c>
      <c r="M29" s="90">
        <f t="shared" si="14"/>
        <v>0</v>
      </c>
      <c r="N29" s="90">
        <f t="shared" si="14"/>
        <v>0</v>
      </c>
      <c r="O29" s="90"/>
      <c r="P29" s="90"/>
      <c r="Q29" s="90"/>
      <c r="R29" s="90"/>
      <c r="S29" s="90"/>
      <c r="T29" s="90"/>
      <c r="U29" s="90"/>
      <c r="V29" s="90"/>
      <c r="W29" s="90"/>
      <c r="X29" s="90"/>
      <c r="Y29" s="90"/>
      <c r="Z29" s="90"/>
      <c r="AA29" s="90"/>
      <c r="AB29" s="90"/>
      <c r="AC29" s="90">
        <f t="shared" si="14"/>
        <v>0</v>
      </c>
      <c r="AD29" s="90">
        <f t="shared" si="14"/>
        <v>0</v>
      </c>
      <c r="AE29" s="90">
        <f t="shared" si="14"/>
        <v>0</v>
      </c>
      <c r="AF29" s="90">
        <f t="shared" si="14"/>
        <v>0</v>
      </c>
      <c r="AG29" s="90">
        <f t="shared" si="14"/>
        <v>0</v>
      </c>
    </row>
    <row r="30" spans="2:36" ht="13.5" customHeight="1" x14ac:dyDescent="0.25">
      <c r="B30" s="291"/>
      <c r="C30" s="55" t="s">
        <v>225</v>
      </c>
      <c r="D30" s="51" t="s">
        <v>226</v>
      </c>
      <c r="E30" s="51" t="s">
        <v>616</v>
      </c>
      <c r="F30" s="90">
        <f>+'3.7 Costi d''Esercizio'!$I$24</f>
        <v>0</v>
      </c>
      <c r="G30" s="90">
        <f t="shared" si="14"/>
        <v>0</v>
      </c>
      <c r="H30" s="90">
        <f t="shared" si="14"/>
        <v>0</v>
      </c>
      <c r="I30" s="90">
        <f t="shared" si="14"/>
        <v>0</v>
      </c>
      <c r="J30" s="90">
        <f t="shared" si="14"/>
        <v>0</v>
      </c>
      <c r="K30" s="90">
        <f t="shared" si="14"/>
        <v>0</v>
      </c>
      <c r="L30" s="90">
        <f t="shared" si="14"/>
        <v>0</v>
      </c>
      <c r="M30" s="90">
        <f t="shared" si="14"/>
        <v>0</v>
      </c>
      <c r="N30" s="90">
        <f t="shared" si="14"/>
        <v>0</v>
      </c>
      <c r="O30" s="90"/>
      <c r="P30" s="90"/>
      <c r="Q30" s="90"/>
      <c r="R30" s="90"/>
      <c r="S30" s="90"/>
      <c r="T30" s="90"/>
      <c r="U30" s="90"/>
      <c r="V30" s="90"/>
      <c r="W30" s="90"/>
      <c r="X30" s="90"/>
      <c r="Y30" s="90"/>
      <c r="Z30" s="90"/>
      <c r="AA30" s="90"/>
      <c r="AB30" s="90"/>
      <c r="AC30" s="90">
        <f t="shared" si="14"/>
        <v>0</v>
      </c>
      <c r="AD30" s="90">
        <f t="shared" si="14"/>
        <v>0</v>
      </c>
      <c r="AE30" s="90">
        <f t="shared" si="14"/>
        <v>0</v>
      </c>
      <c r="AF30" s="90">
        <f t="shared" si="14"/>
        <v>0</v>
      </c>
      <c r="AG30" s="90">
        <f t="shared" si="14"/>
        <v>0</v>
      </c>
    </row>
    <row r="31" spans="2:36" ht="13.5" customHeight="1" x14ac:dyDescent="0.25">
      <c r="B31" s="291"/>
      <c r="C31" s="55" t="s">
        <v>227</v>
      </c>
      <c r="D31" s="51" t="s">
        <v>228</v>
      </c>
      <c r="E31" s="51" t="s">
        <v>616</v>
      </c>
      <c r="F31" s="90">
        <f>+'3.7 Costi d''Esercizio'!$I$24</f>
        <v>0</v>
      </c>
      <c r="G31" s="90">
        <f t="shared" si="14"/>
        <v>0</v>
      </c>
      <c r="H31" s="90">
        <f t="shared" si="14"/>
        <v>0</v>
      </c>
      <c r="I31" s="90">
        <f t="shared" si="14"/>
        <v>0</v>
      </c>
      <c r="J31" s="90">
        <f t="shared" si="14"/>
        <v>0</v>
      </c>
      <c r="K31" s="90">
        <f t="shared" si="14"/>
        <v>0</v>
      </c>
      <c r="L31" s="90">
        <f t="shared" si="14"/>
        <v>0</v>
      </c>
      <c r="M31" s="90">
        <f t="shared" si="14"/>
        <v>0</v>
      </c>
      <c r="N31" s="90">
        <f>'3.7 Costi d''Esercizio'!L24</f>
        <v>0.55158070219536759</v>
      </c>
      <c r="O31" s="90">
        <f>N31</f>
        <v>0.55158070219536759</v>
      </c>
      <c r="P31" s="90">
        <f t="shared" ref="P31:AE31" si="15">O31</f>
        <v>0.55158070219536759</v>
      </c>
      <c r="Q31" s="90">
        <f t="shared" si="15"/>
        <v>0.55158070219536759</v>
      </c>
      <c r="R31" s="90">
        <f t="shared" si="15"/>
        <v>0.55158070219536759</v>
      </c>
      <c r="S31" s="90">
        <f t="shared" si="15"/>
        <v>0.55158070219536759</v>
      </c>
      <c r="T31" s="90">
        <f t="shared" si="15"/>
        <v>0.55158070219536759</v>
      </c>
      <c r="U31" s="90">
        <f t="shared" si="15"/>
        <v>0.55158070219536759</v>
      </c>
      <c r="V31" s="90">
        <f t="shared" si="15"/>
        <v>0.55158070219536759</v>
      </c>
      <c r="W31" s="90">
        <f t="shared" si="15"/>
        <v>0.55158070219536759</v>
      </c>
      <c r="X31" s="90">
        <f t="shared" si="15"/>
        <v>0.55158070219536759</v>
      </c>
      <c r="Y31" s="90">
        <f t="shared" si="15"/>
        <v>0.55158070219536759</v>
      </c>
      <c r="Z31" s="90">
        <f t="shared" si="15"/>
        <v>0.55158070219536759</v>
      </c>
      <c r="AA31" s="90">
        <f t="shared" si="15"/>
        <v>0.55158070219536759</v>
      </c>
      <c r="AB31" s="90">
        <f t="shared" si="15"/>
        <v>0.55158070219536759</v>
      </c>
      <c r="AC31" s="90">
        <f t="shared" si="15"/>
        <v>0.55158070219536759</v>
      </c>
      <c r="AD31" s="90">
        <f t="shared" si="15"/>
        <v>0.55158070219536759</v>
      </c>
      <c r="AE31" s="90">
        <f t="shared" si="15"/>
        <v>0.55158070219536759</v>
      </c>
      <c r="AF31" s="90">
        <f t="shared" ref="AF31:AF32" si="16">AE31</f>
        <v>0.55158070219536759</v>
      </c>
      <c r="AG31" s="90">
        <f t="shared" ref="AG31:AG32" si="17">AF31</f>
        <v>0.55158070219536759</v>
      </c>
    </row>
    <row r="32" spans="2:36" ht="13.5" customHeight="1" x14ac:dyDescent="0.25">
      <c r="B32" s="291"/>
      <c r="C32" s="55" t="s">
        <v>229</v>
      </c>
      <c r="D32" s="51" t="s">
        <v>230</v>
      </c>
      <c r="E32" s="51" t="s">
        <v>616</v>
      </c>
      <c r="F32" s="90">
        <v>3.84</v>
      </c>
      <c r="G32" s="90">
        <f t="shared" si="14"/>
        <v>3.84</v>
      </c>
      <c r="H32" s="90">
        <f t="shared" si="14"/>
        <v>3.84</v>
      </c>
      <c r="I32" s="90">
        <f t="shared" si="14"/>
        <v>3.84</v>
      </c>
      <c r="J32" s="90">
        <f t="shared" si="14"/>
        <v>3.84</v>
      </c>
      <c r="K32" s="90">
        <f t="shared" si="14"/>
        <v>3.84</v>
      </c>
      <c r="L32" s="90">
        <f t="shared" si="14"/>
        <v>3.84</v>
      </c>
      <c r="M32" s="90">
        <f t="shared" si="14"/>
        <v>3.84</v>
      </c>
      <c r="N32" s="90">
        <f t="shared" si="14"/>
        <v>3.84</v>
      </c>
      <c r="O32" s="90">
        <f>N32</f>
        <v>3.84</v>
      </c>
      <c r="P32" s="90">
        <f t="shared" ref="P32:AE32" si="18">O32</f>
        <v>3.84</v>
      </c>
      <c r="Q32" s="90">
        <f t="shared" si="18"/>
        <v>3.84</v>
      </c>
      <c r="R32" s="90">
        <f t="shared" si="18"/>
        <v>3.84</v>
      </c>
      <c r="S32" s="90">
        <f t="shared" si="18"/>
        <v>3.84</v>
      </c>
      <c r="T32" s="90">
        <f t="shared" si="18"/>
        <v>3.84</v>
      </c>
      <c r="U32" s="90">
        <f t="shared" si="18"/>
        <v>3.84</v>
      </c>
      <c r="V32" s="90">
        <f t="shared" si="18"/>
        <v>3.84</v>
      </c>
      <c r="W32" s="90">
        <f t="shared" si="18"/>
        <v>3.84</v>
      </c>
      <c r="X32" s="90">
        <f t="shared" si="18"/>
        <v>3.84</v>
      </c>
      <c r="Y32" s="90">
        <f t="shared" si="18"/>
        <v>3.84</v>
      </c>
      <c r="Z32" s="90">
        <f t="shared" si="18"/>
        <v>3.84</v>
      </c>
      <c r="AA32" s="90">
        <f t="shared" si="18"/>
        <v>3.84</v>
      </c>
      <c r="AB32" s="90">
        <f t="shared" si="18"/>
        <v>3.84</v>
      </c>
      <c r="AC32" s="90">
        <f t="shared" si="18"/>
        <v>3.84</v>
      </c>
      <c r="AD32" s="90">
        <f t="shared" si="18"/>
        <v>3.84</v>
      </c>
      <c r="AE32" s="90">
        <f t="shared" si="18"/>
        <v>3.84</v>
      </c>
      <c r="AF32" s="90">
        <f t="shared" si="16"/>
        <v>3.84</v>
      </c>
      <c r="AG32" s="90">
        <f t="shared" si="17"/>
        <v>3.84</v>
      </c>
    </row>
    <row r="33" spans="2:33" ht="13.5" customHeight="1" x14ac:dyDescent="0.25">
      <c r="B33" s="291"/>
      <c r="C33" s="55" t="str">
        <f>+'Dati di Supporto'!C44</f>
        <v>O6</v>
      </c>
      <c r="D33" s="51" t="s">
        <v>232</v>
      </c>
      <c r="E33" s="51" t="s">
        <v>616</v>
      </c>
      <c r="F33" s="38">
        <f>+'Dati di Supporto'!$Q44</f>
        <v>0.2947483250526316</v>
      </c>
      <c r="G33" s="98">
        <f t="shared" si="14"/>
        <v>0.2947483250526316</v>
      </c>
      <c r="H33" s="98">
        <f t="shared" si="14"/>
        <v>0.2947483250526316</v>
      </c>
      <c r="I33" s="98">
        <f t="shared" si="14"/>
        <v>0.2947483250526316</v>
      </c>
      <c r="J33" s="98">
        <f t="shared" si="14"/>
        <v>0.2947483250526316</v>
      </c>
      <c r="K33" s="98">
        <f t="shared" si="14"/>
        <v>0.2947483250526316</v>
      </c>
      <c r="L33" s="98">
        <f t="shared" si="14"/>
        <v>0.2947483250526316</v>
      </c>
      <c r="M33" s="98">
        <f t="shared" si="14"/>
        <v>0.2947483250526316</v>
      </c>
      <c r="N33" s="98">
        <f t="shared" si="14"/>
        <v>0.2947483250526316</v>
      </c>
      <c r="O33" s="98">
        <f t="shared" si="14"/>
        <v>0.2947483250526316</v>
      </c>
      <c r="P33" s="98">
        <f t="shared" si="14"/>
        <v>0.2947483250526316</v>
      </c>
      <c r="Q33" s="98">
        <f t="shared" si="14"/>
        <v>0.2947483250526316</v>
      </c>
      <c r="R33" s="98">
        <f t="shared" si="14"/>
        <v>0.2947483250526316</v>
      </c>
      <c r="S33" s="98">
        <f t="shared" si="14"/>
        <v>0.2947483250526316</v>
      </c>
      <c r="T33" s="98">
        <f t="shared" si="14"/>
        <v>0.2947483250526316</v>
      </c>
      <c r="U33" s="98">
        <f t="shared" si="14"/>
        <v>0.2947483250526316</v>
      </c>
      <c r="V33" s="98">
        <f t="shared" si="14"/>
        <v>0.2947483250526316</v>
      </c>
      <c r="W33" s="98">
        <f t="shared" si="14"/>
        <v>0.2947483250526316</v>
      </c>
      <c r="X33" s="98">
        <f t="shared" si="14"/>
        <v>0.2947483250526316</v>
      </c>
      <c r="Y33" s="98">
        <f t="shared" si="14"/>
        <v>0.2947483250526316</v>
      </c>
      <c r="Z33" s="98">
        <f t="shared" si="14"/>
        <v>0.2947483250526316</v>
      </c>
      <c r="AA33" s="98">
        <f t="shared" si="14"/>
        <v>0.2947483250526316</v>
      </c>
      <c r="AB33" s="98">
        <f t="shared" si="14"/>
        <v>0.2947483250526316</v>
      </c>
      <c r="AC33" s="98">
        <f t="shared" si="14"/>
        <v>0.2947483250526316</v>
      </c>
      <c r="AD33" s="98">
        <f t="shared" si="14"/>
        <v>0.2947483250526316</v>
      </c>
      <c r="AE33" s="98">
        <f t="shared" si="14"/>
        <v>0.2947483250526316</v>
      </c>
      <c r="AF33" s="98">
        <f t="shared" si="14"/>
        <v>0.2947483250526316</v>
      </c>
      <c r="AG33" s="98">
        <f t="shared" si="14"/>
        <v>0.2947483250526316</v>
      </c>
    </row>
    <row r="34" spans="2:33" ht="13.5" customHeight="1" x14ac:dyDescent="0.25">
      <c r="B34" s="291"/>
      <c r="C34" s="55" t="str">
        <f>+'Dati di Supporto'!C50</f>
        <v>O7</v>
      </c>
      <c r="D34" s="51" t="s">
        <v>234</v>
      </c>
      <c r="E34" s="51" t="s">
        <v>616</v>
      </c>
      <c r="F34" s="38">
        <f>+'Dati di Supporto'!$Q50</f>
        <v>0.108678024</v>
      </c>
      <c r="G34" s="98">
        <f t="shared" si="14"/>
        <v>0.108678024</v>
      </c>
      <c r="H34" s="98">
        <f t="shared" si="14"/>
        <v>0.108678024</v>
      </c>
      <c r="I34" s="98">
        <f t="shared" si="14"/>
        <v>0.108678024</v>
      </c>
      <c r="J34" s="98">
        <f t="shared" si="14"/>
        <v>0.108678024</v>
      </c>
      <c r="K34" s="98">
        <f t="shared" si="14"/>
        <v>0.108678024</v>
      </c>
      <c r="L34" s="98">
        <f t="shared" si="14"/>
        <v>0.108678024</v>
      </c>
      <c r="M34" s="98">
        <f t="shared" si="14"/>
        <v>0.108678024</v>
      </c>
      <c r="N34" s="98">
        <f t="shared" si="14"/>
        <v>0.108678024</v>
      </c>
      <c r="O34" s="98">
        <f t="shared" si="14"/>
        <v>0.108678024</v>
      </c>
      <c r="P34" s="98">
        <f t="shared" si="14"/>
        <v>0.108678024</v>
      </c>
      <c r="Q34" s="98">
        <f t="shared" si="14"/>
        <v>0.108678024</v>
      </c>
      <c r="R34" s="98">
        <f t="shared" si="14"/>
        <v>0.108678024</v>
      </c>
      <c r="S34" s="98">
        <f t="shared" si="14"/>
        <v>0.108678024</v>
      </c>
      <c r="T34" s="98">
        <f t="shared" si="14"/>
        <v>0.108678024</v>
      </c>
      <c r="U34" s="98">
        <f t="shared" si="14"/>
        <v>0.108678024</v>
      </c>
      <c r="V34" s="98">
        <f t="shared" si="14"/>
        <v>0.108678024</v>
      </c>
      <c r="W34" s="98">
        <f t="shared" si="14"/>
        <v>0.108678024</v>
      </c>
      <c r="X34" s="98">
        <f t="shared" si="14"/>
        <v>0.108678024</v>
      </c>
      <c r="Y34" s="98">
        <f t="shared" si="14"/>
        <v>0.108678024</v>
      </c>
      <c r="Z34" s="98">
        <f t="shared" si="14"/>
        <v>0.108678024</v>
      </c>
      <c r="AA34" s="98">
        <f t="shared" si="14"/>
        <v>0.108678024</v>
      </c>
      <c r="AB34" s="98">
        <f t="shared" si="14"/>
        <v>0.108678024</v>
      </c>
      <c r="AC34" s="98">
        <f t="shared" si="14"/>
        <v>0.108678024</v>
      </c>
      <c r="AD34" s="98">
        <f t="shared" si="14"/>
        <v>0.108678024</v>
      </c>
      <c r="AE34" s="98">
        <f t="shared" si="14"/>
        <v>0.108678024</v>
      </c>
      <c r="AF34" s="98">
        <f t="shared" si="14"/>
        <v>0.108678024</v>
      </c>
      <c r="AG34" s="98">
        <f t="shared" si="14"/>
        <v>0.108678024</v>
      </c>
    </row>
    <row r="35" spans="2:33" ht="4.5" customHeight="1" x14ac:dyDescent="0.25">
      <c r="B35" s="5"/>
      <c r="C35" s="5"/>
      <c r="N35" s="5"/>
      <c r="O35" s="5"/>
      <c r="P35" s="5"/>
      <c r="Q35" s="5"/>
      <c r="R35" s="5"/>
      <c r="S35" s="5"/>
      <c r="T35" s="5"/>
      <c r="U35" s="5"/>
      <c r="V35" s="5"/>
      <c r="W35" s="5"/>
      <c r="X35" s="5"/>
      <c r="Y35" s="5"/>
      <c r="Z35" s="5"/>
      <c r="AA35" s="5"/>
      <c r="AB35" s="5"/>
    </row>
    <row r="36" spans="2:33" ht="13.5" customHeight="1" x14ac:dyDescent="0.25">
      <c r="B36" s="284" t="s">
        <v>327</v>
      </c>
      <c r="C36" s="55" t="s">
        <v>328</v>
      </c>
      <c r="D36" s="51" t="s">
        <v>329</v>
      </c>
      <c r="E36" s="51" t="s">
        <v>549</v>
      </c>
      <c r="F36" s="11"/>
      <c r="G36" s="90">
        <f>+$F36</f>
        <v>0</v>
      </c>
      <c r="H36" s="90">
        <f t="shared" ref="H36:K36" si="19">+$F36</f>
        <v>0</v>
      </c>
      <c r="I36" s="90">
        <f t="shared" si="19"/>
        <v>0</v>
      </c>
      <c r="J36" s="90">
        <f t="shared" si="19"/>
        <v>0</v>
      </c>
      <c r="K36" s="90">
        <f t="shared" si="19"/>
        <v>0</v>
      </c>
      <c r="L36" s="90">
        <f t="shared" ref="L36:AG36" si="20">+$F36</f>
        <v>0</v>
      </c>
      <c r="M36" s="90">
        <f t="shared" si="20"/>
        <v>0</v>
      </c>
      <c r="N36" s="90">
        <f t="shared" si="20"/>
        <v>0</v>
      </c>
      <c r="O36" s="90"/>
      <c r="P36" s="90"/>
      <c r="Q36" s="90"/>
      <c r="R36" s="90"/>
      <c r="S36" s="90"/>
      <c r="T36" s="90"/>
      <c r="U36" s="90"/>
      <c r="V36" s="90"/>
      <c r="W36" s="90"/>
      <c r="X36" s="90"/>
      <c r="Y36" s="90"/>
      <c r="Z36" s="90"/>
      <c r="AA36" s="90"/>
      <c r="AB36" s="90"/>
      <c r="AC36" s="90">
        <f t="shared" si="20"/>
        <v>0</v>
      </c>
      <c r="AD36" s="90">
        <f t="shared" si="20"/>
        <v>0</v>
      </c>
      <c r="AE36" s="90">
        <f t="shared" si="20"/>
        <v>0</v>
      </c>
      <c r="AF36" s="90">
        <f t="shared" si="20"/>
        <v>0</v>
      </c>
      <c r="AG36" s="90">
        <f t="shared" si="20"/>
        <v>0</v>
      </c>
    </row>
    <row r="37" spans="2:33" ht="13.5" customHeight="1" x14ac:dyDescent="0.25">
      <c r="B37" s="284"/>
      <c r="C37" s="55" t="s">
        <v>330</v>
      </c>
      <c r="D37" s="51" t="s">
        <v>331</v>
      </c>
      <c r="E37" s="51" t="str">
        <f>+E36</f>
        <v>Chilowatth/veicoli*km</v>
      </c>
      <c r="F37" s="11"/>
      <c r="G37" s="90">
        <f t="shared" ref="G37:AG43" si="21">+$F37</f>
        <v>0</v>
      </c>
      <c r="H37" s="90">
        <f t="shared" si="21"/>
        <v>0</v>
      </c>
      <c r="I37" s="90">
        <f t="shared" si="21"/>
        <v>0</v>
      </c>
      <c r="J37" s="90">
        <f t="shared" si="21"/>
        <v>0</v>
      </c>
      <c r="K37" s="90">
        <f t="shared" si="21"/>
        <v>0</v>
      </c>
      <c r="L37" s="90">
        <f t="shared" si="21"/>
        <v>0</v>
      </c>
      <c r="M37" s="90">
        <f t="shared" si="21"/>
        <v>0</v>
      </c>
      <c r="N37" s="90">
        <f t="shared" si="21"/>
        <v>0</v>
      </c>
      <c r="O37" s="90"/>
      <c r="P37" s="90"/>
      <c r="Q37" s="90"/>
      <c r="R37" s="90"/>
      <c r="S37" s="90"/>
      <c r="T37" s="90"/>
      <c r="U37" s="90"/>
      <c r="V37" s="90"/>
      <c r="W37" s="90"/>
      <c r="X37" s="90"/>
      <c r="Y37" s="90"/>
      <c r="Z37" s="90"/>
      <c r="AA37" s="90"/>
      <c r="AB37" s="90"/>
      <c r="AC37" s="90">
        <f t="shared" si="21"/>
        <v>0</v>
      </c>
      <c r="AD37" s="90">
        <f t="shared" si="21"/>
        <v>0</v>
      </c>
      <c r="AE37" s="90">
        <f t="shared" si="21"/>
        <v>0</v>
      </c>
      <c r="AF37" s="90">
        <f t="shared" si="21"/>
        <v>0</v>
      </c>
      <c r="AG37" s="90">
        <f t="shared" si="21"/>
        <v>0</v>
      </c>
    </row>
    <row r="38" spans="2:33" ht="13.5" customHeight="1" x14ac:dyDescent="0.25">
      <c r="B38" s="284"/>
      <c r="C38" s="55" t="s">
        <v>332</v>
      </c>
      <c r="D38" s="51" t="s">
        <v>333</v>
      </c>
      <c r="E38" s="51" t="str">
        <f>+E37</f>
        <v>Chilowatth/veicoli*km</v>
      </c>
      <c r="F38" s="11"/>
      <c r="G38" s="90">
        <f t="shared" si="21"/>
        <v>0</v>
      </c>
      <c r="H38" s="90">
        <f t="shared" si="21"/>
        <v>0</v>
      </c>
      <c r="I38" s="90">
        <f t="shared" si="21"/>
        <v>0</v>
      </c>
      <c r="J38" s="90">
        <f t="shared" si="21"/>
        <v>0</v>
      </c>
      <c r="K38" s="90">
        <f t="shared" si="21"/>
        <v>0</v>
      </c>
      <c r="L38" s="90">
        <f t="shared" si="21"/>
        <v>0</v>
      </c>
      <c r="M38" s="90">
        <f t="shared" si="21"/>
        <v>0</v>
      </c>
      <c r="N38" s="90">
        <f t="shared" si="21"/>
        <v>0</v>
      </c>
      <c r="O38" s="90"/>
      <c r="P38" s="90"/>
      <c r="Q38" s="90"/>
      <c r="R38" s="90"/>
      <c r="S38" s="90"/>
      <c r="T38" s="90"/>
      <c r="U38" s="90"/>
      <c r="V38" s="90"/>
      <c r="W38" s="90"/>
      <c r="X38" s="90"/>
      <c r="Y38" s="90"/>
      <c r="Z38" s="90"/>
      <c r="AA38" s="90"/>
      <c r="AB38" s="90"/>
      <c r="AC38" s="90">
        <f t="shared" si="21"/>
        <v>0</v>
      </c>
      <c r="AD38" s="90">
        <f t="shared" si="21"/>
        <v>0</v>
      </c>
      <c r="AE38" s="90">
        <f t="shared" si="21"/>
        <v>0</v>
      </c>
      <c r="AF38" s="90">
        <f t="shared" si="21"/>
        <v>0</v>
      </c>
      <c r="AG38" s="90">
        <f t="shared" si="21"/>
        <v>0</v>
      </c>
    </row>
    <row r="39" spans="2:33" ht="13.5" customHeight="1" x14ac:dyDescent="0.25">
      <c r="B39" s="284"/>
      <c r="C39" s="55" t="s">
        <v>334</v>
      </c>
      <c r="D39" s="51" t="s">
        <v>335</v>
      </c>
      <c r="E39" s="51" t="str">
        <f>+E38</f>
        <v>Chilowatth/veicoli*km</v>
      </c>
      <c r="F39" s="11">
        <f>'3.3 Parco TPL'!J11</f>
        <v>0.69669102056147236</v>
      </c>
      <c r="G39" s="90">
        <f t="shared" si="21"/>
        <v>0.69669102056147236</v>
      </c>
      <c r="H39" s="90">
        <f t="shared" si="21"/>
        <v>0.69669102056147236</v>
      </c>
      <c r="I39" s="90">
        <f t="shared" si="21"/>
        <v>0.69669102056147236</v>
      </c>
      <c r="J39" s="90">
        <f t="shared" si="21"/>
        <v>0.69669102056147236</v>
      </c>
      <c r="K39" s="90">
        <f t="shared" si="21"/>
        <v>0.69669102056147236</v>
      </c>
      <c r="L39" s="90">
        <f t="shared" si="21"/>
        <v>0.69669102056147236</v>
      </c>
      <c r="M39" s="90">
        <f t="shared" si="21"/>
        <v>0.69669102056147236</v>
      </c>
      <c r="N39" s="90">
        <f t="shared" si="21"/>
        <v>0.69669102056147236</v>
      </c>
      <c r="O39" s="90">
        <f t="shared" si="21"/>
        <v>0.69669102056147236</v>
      </c>
      <c r="P39" s="90">
        <f t="shared" si="21"/>
        <v>0.69669102056147236</v>
      </c>
      <c r="Q39" s="90">
        <f t="shared" si="21"/>
        <v>0.69669102056147236</v>
      </c>
      <c r="R39" s="90">
        <f t="shared" si="21"/>
        <v>0.69669102056147236</v>
      </c>
      <c r="S39" s="90">
        <f t="shared" si="21"/>
        <v>0.69669102056147236</v>
      </c>
      <c r="T39" s="90">
        <f t="shared" si="21"/>
        <v>0.69669102056147236</v>
      </c>
      <c r="U39" s="90">
        <f t="shared" si="21"/>
        <v>0.69669102056147236</v>
      </c>
      <c r="V39" s="90">
        <f t="shared" si="21"/>
        <v>0.69669102056147236</v>
      </c>
      <c r="W39" s="90">
        <f t="shared" si="21"/>
        <v>0.69669102056147236</v>
      </c>
      <c r="X39" s="90">
        <f t="shared" si="21"/>
        <v>0.69669102056147236</v>
      </c>
      <c r="Y39" s="90">
        <f t="shared" si="21"/>
        <v>0.69669102056147236</v>
      </c>
      <c r="Z39" s="90">
        <f t="shared" si="21"/>
        <v>0.69669102056147236</v>
      </c>
      <c r="AA39" s="90">
        <f t="shared" si="21"/>
        <v>0.69669102056147236</v>
      </c>
      <c r="AB39" s="90">
        <f t="shared" si="21"/>
        <v>0.69669102056147236</v>
      </c>
      <c r="AC39" s="90">
        <f t="shared" si="21"/>
        <v>0.69669102056147236</v>
      </c>
      <c r="AD39" s="90">
        <f t="shared" si="21"/>
        <v>0.69669102056147236</v>
      </c>
      <c r="AE39" s="90">
        <f t="shared" si="21"/>
        <v>0.69669102056147236</v>
      </c>
      <c r="AF39" s="90">
        <f t="shared" si="21"/>
        <v>0.69669102056147236</v>
      </c>
      <c r="AG39" s="90">
        <f t="shared" si="21"/>
        <v>0.69669102056147236</v>
      </c>
    </row>
    <row r="40" spans="2:33" ht="13.5" customHeight="1" x14ac:dyDescent="0.25">
      <c r="B40" s="284"/>
      <c r="C40" s="55" t="s">
        <v>336</v>
      </c>
      <c r="D40" s="51" t="s">
        <v>337</v>
      </c>
      <c r="E40" s="51" t="s">
        <v>528</v>
      </c>
      <c r="F40" s="39">
        <v>1146.7535261432688</v>
      </c>
      <c r="G40" s="99">
        <f t="shared" si="21"/>
        <v>1146.7535261432688</v>
      </c>
      <c r="H40" s="99">
        <f t="shared" si="21"/>
        <v>1146.7535261432688</v>
      </c>
      <c r="I40" s="99">
        <f t="shared" si="21"/>
        <v>1146.7535261432688</v>
      </c>
      <c r="J40" s="99">
        <f t="shared" si="21"/>
        <v>1146.7535261432688</v>
      </c>
      <c r="K40" s="99">
        <f t="shared" si="21"/>
        <v>1146.7535261432688</v>
      </c>
      <c r="L40" s="99">
        <f t="shared" si="21"/>
        <v>1146.7535261432688</v>
      </c>
      <c r="M40" s="99">
        <f t="shared" si="21"/>
        <v>1146.7535261432688</v>
      </c>
      <c r="N40" s="99">
        <f t="shared" si="21"/>
        <v>1146.7535261432688</v>
      </c>
      <c r="O40" s="99">
        <f t="shared" si="21"/>
        <v>1146.7535261432688</v>
      </c>
      <c r="P40" s="99">
        <f t="shared" si="21"/>
        <v>1146.7535261432688</v>
      </c>
      <c r="Q40" s="99">
        <f t="shared" si="21"/>
        <v>1146.7535261432688</v>
      </c>
      <c r="R40" s="99">
        <f t="shared" si="21"/>
        <v>1146.7535261432688</v>
      </c>
      <c r="S40" s="99">
        <f t="shared" si="21"/>
        <v>1146.7535261432688</v>
      </c>
      <c r="T40" s="99">
        <f t="shared" si="21"/>
        <v>1146.7535261432688</v>
      </c>
      <c r="U40" s="99">
        <f t="shared" si="21"/>
        <v>1146.7535261432688</v>
      </c>
      <c r="V40" s="99">
        <f t="shared" si="21"/>
        <v>1146.7535261432688</v>
      </c>
      <c r="W40" s="99">
        <f t="shared" si="21"/>
        <v>1146.7535261432688</v>
      </c>
      <c r="X40" s="99">
        <f t="shared" si="21"/>
        <v>1146.7535261432688</v>
      </c>
      <c r="Y40" s="99">
        <f t="shared" si="21"/>
        <v>1146.7535261432688</v>
      </c>
      <c r="Z40" s="99">
        <f t="shared" si="21"/>
        <v>1146.7535261432688</v>
      </c>
      <c r="AA40" s="99">
        <f t="shared" si="21"/>
        <v>1146.7535261432688</v>
      </c>
      <c r="AB40" s="99">
        <f t="shared" si="21"/>
        <v>1146.7535261432688</v>
      </c>
      <c r="AC40" s="99">
        <f t="shared" si="21"/>
        <v>1146.7535261432688</v>
      </c>
      <c r="AD40" s="99">
        <f t="shared" si="21"/>
        <v>1146.7535261432688</v>
      </c>
      <c r="AE40" s="99">
        <f t="shared" si="21"/>
        <v>1146.7535261432688</v>
      </c>
      <c r="AF40" s="99">
        <f t="shared" si="21"/>
        <v>1146.7535261432688</v>
      </c>
      <c r="AG40" s="99">
        <f t="shared" si="21"/>
        <v>1146.7535261432688</v>
      </c>
    </row>
    <row r="41" spans="2:33" ht="13.5" customHeight="1" x14ac:dyDescent="0.25">
      <c r="B41" s="284"/>
      <c r="C41" s="55" t="s">
        <v>338</v>
      </c>
      <c r="D41" s="51" t="s">
        <v>339</v>
      </c>
      <c r="E41" s="51" t="str">
        <f>+E40</f>
        <v>Grammi/veicoli*km</v>
      </c>
      <c r="F41" s="39">
        <v>264.84974308669274</v>
      </c>
      <c r="G41" s="99">
        <f t="shared" si="21"/>
        <v>264.84974308669274</v>
      </c>
      <c r="H41" s="99">
        <f t="shared" si="21"/>
        <v>264.84974308669274</v>
      </c>
      <c r="I41" s="99">
        <f t="shared" si="21"/>
        <v>264.84974308669274</v>
      </c>
      <c r="J41" s="99">
        <f t="shared" si="21"/>
        <v>264.84974308669274</v>
      </c>
      <c r="K41" s="99">
        <f t="shared" si="21"/>
        <v>264.84974308669274</v>
      </c>
      <c r="L41" s="99">
        <f t="shared" si="21"/>
        <v>264.84974308669274</v>
      </c>
      <c r="M41" s="99">
        <f t="shared" si="21"/>
        <v>264.84974308669274</v>
      </c>
      <c r="N41" s="99">
        <f t="shared" si="21"/>
        <v>264.84974308669274</v>
      </c>
      <c r="O41" s="99">
        <f t="shared" si="21"/>
        <v>264.84974308669274</v>
      </c>
      <c r="P41" s="99">
        <f t="shared" si="21"/>
        <v>264.84974308669274</v>
      </c>
      <c r="Q41" s="99">
        <f t="shared" si="21"/>
        <v>264.84974308669274</v>
      </c>
      <c r="R41" s="99">
        <f t="shared" si="21"/>
        <v>264.84974308669274</v>
      </c>
      <c r="S41" s="99">
        <f t="shared" si="21"/>
        <v>264.84974308669274</v>
      </c>
      <c r="T41" s="99">
        <f t="shared" si="21"/>
        <v>264.84974308669274</v>
      </c>
      <c r="U41" s="99">
        <f t="shared" si="21"/>
        <v>264.84974308669274</v>
      </c>
      <c r="V41" s="99">
        <f t="shared" si="21"/>
        <v>264.84974308669274</v>
      </c>
      <c r="W41" s="99">
        <f t="shared" si="21"/>
        <v>264.84974308669274</v>
      </c>
      <c r="X41" s="99">
        <f t="shared" si="21"/>
        <v>264.84974308669274</v>
      </c>
      <c r="Y41" s="99">
        <f t="shared" si="21"/>
        <v>264.84974308669274</v>
      </c>
      <c r="Z41" s="99">
        <f t="shared" si="21"/>
        <v>264.84974308669274</v>
      </c>
      <c r="AA41" s="99">
        <f t="shared" si="21"/>
        <v>264.84974308669274</v>
      </c>
      <c r="AB41" s="99">
        <f t="shared" si="21"/>
        <v>264.84974308669274</v>
      </c>
      <c r="AC41" s="99">
        <f t="shared" si="21"/>
        <v>264.84974308669274</v>
      </c>
      <c r="AD41" s="99">
        <f t="shared" si="21"/>
        <v>264.84974308669274</v>
      </c>
      <c r="AE41" s="99">
        <f t="shared" si="21"/>
        <v>264.84974308669274</v>
      </c>
      <c r="AF41" s="99">
        <f t="shared" si="21"/>
        <v>264.84974308669274</v>
      </c>
      <c r="AG41" s="99">
        <f t="shared" si="21"/>
        <v>264.84974308669274</v>
      </c>
    </row>
    <row r="42" spans="2:33" ht="13.5" customHeight="1" x14ac:dyDescent="0.25">
      <c r="B42" s="284"/>
      <c r="C42" s="55" t="s">
        <v>340</v>
      </c>
      <c r="D42" s="51" t="s">
        <v>341</v>
      </c>
      <c r="E42" s="51" t="s">
        <v>528</v>
      </c>
      <c r="F42" s="39">
        <v>96.146047520564224</v>
      </c>
      <c r="G42" s="99">
        <f t="shared" si="21"/>
        <v>96.146047520564224</v>
      </c>
      <c r="H42" s="99">
        <f t="shared" si="21"/>
        <v>96.146047520564224</v>
      </c>
      <c r="I42" s="99">
        <f t="shared" si="21"/>
        <v>96.146047520564224</v>
      </c>
      <c r="J42" s="99">
        <f t="shared" si="21"/>
        <v>96.146047520564224</v>
      </c>
      <c r="K42" s="99">
        <f t="shared" si="21"/>
        <v>96.146047520564224</v>
      </c>
      <c r="L42" s="99">
        <f t="shared" si="21"/>
        <v>96.146047520564224</v>
      </c>
      <c r="M42" s="99">
        <f t="shared" si="21"/>
        <v>96.146047520564224</v>
      </c>
      <c r="N42" s="99">
        <f t="shared" si="21"/>
        <v>96.146047520564224</v>
      </c>
      <c r="O42" s="99">
        <f t="shared" si="21"/>
        <v>96.146047520564224</v>
      </c>
      <c r="P42" s="99">
        <f t="shared" si="21"/>
        <v>96.146047520564224</v>
      </c>
      <c r="Q42" s="99">
        <f t="shared" si="21"/>
        <v>96.146047520564224</v>
      </c>
      <c r="R42" s="99">
        <f t="shared" si="21"/>
        <v>96.146047520564224</v>
      </c>
      <c r="S42" s="99">
        <f t="shared" si="21"/>
        <v>96.146047520564224</v>
      </c>
      <c r="T42" s="99">
        <f t="shared" si="21"/>
        <v>96.146047520564224</v>
      </c>
      <c r="U42" s="99">
        <f t="shared" si="21"/>
        <v>96.146047520564224</v>
      </c>
      <c r="V42" s="99">
        <f t="shared" si="21"/>
        <v>96.146047520564224</v>
      </c>
      <c r="W42" s="99">
        <f t="shared" si="21"/>
        <v>96.146047520564224</v>
      </c>
      <c r="X42" s="99">
        <f t="shared" si="21"/>
        <v>96.146047520564224</v>
      </c>
      <c r="Y42" s="99">
        <f t="shared" si="21"/>
        <v>96.146047520564224</v>
      </c>
      <c r="Z42" s="99">
        <f t="shared" si="21"/>
        <v>96.146047520564224</v>
      </c>
      <c r="AA42" s="99">
        <f t="shared" si="21"/>
        <v>96.146047520564224</v>
      </c>
      <c r="AB42" s="99">
        <f t="shared" si="21"/>
        <v>96.146047520564224</v>
      </c>
      <c r="AC42" s="99">
        <f t="shared" si="21"/>
        <v>96.146047520564224</v>
      </c>
      <c r="AD42" s="99">
        <f t="shared" si="21"/>
        <v>96.146047520564224</v>
      </c>
      <c r="AE42" s="99">
        <f t="shared" si="21"/>
        <v>96.146047520564224</v>
      </c>
      <c r="AF42" s="99">
        <f t="shared" si="21"/>
        <v>96.146047520564224</v>
      </c>
      <c r="AG42" s="99">
        <f t="shared" si="21"/>
        <v>96.146047520564224</v>
      </c>
    </row>
    <row r="43" spans="2:33" ht="13.5" customHeight="1" x14ac:dyDescent="0.25">
      <c r="B43" s="284"/>
      <c r="C43" s="55" t="s">
        <v>342</v>
      </c>
      <c r="D43" s="51" t="s">
        <v>343</v>
      </c>
      <c r="E43" s="51" t="s">
        <v>550</v>
      </c>
      <c r="F43" s="39">
        <v>437</v>
      </c>
      <c r="G43" s="99">
        <f t="shared" si="21"/>
        <v>437</v>
      </c>
      <c r="H43" s="99">
        <f t="shared" si="21"/>
        <v>437</v>
      </c>
      <c r="I43" s="99">
        <f t="shared" si="21"/>
        <v>437</v>
      </c>
      <c r="J43" s="99">
        <f t="shared" si="21"/>
        <v>437</v>
      </c>
      <c r="K43" s="99">
        <f t="shared" si="21"/>
        <v>437</v>
      </c>
      <c r="L43" s="99">
        <f t="shared" si="21"/>
        <v>437</v>
      </c>
      <c r="M43" s="99">
        <f t="shared" si="21"/>
        <v>437</v>
      </c>
      <c r="N43" s="99">
        <f t="shared" si="21"/>
        <v>437</v>
      </c>
      <c r="O43" s="99">
        <f t="shared" si="21"/>
        <v>437</v>
      </c>
      <c r="P43" s="99">
        <f t="shared" si="21"/>
        <v>437</v>
      </c>
      <c r="Q43" s="99">
        <f t="shared" si="21"/>
        <v>437</v>
      </c>
      <c r="R43" s="99">
        <f t="shared" si="21"/>
        <v>437</v>
      </c>
      <c r="S43" s="99">
        <f t="shared" si="21"/>
        <v>437</v>
      </c>
      <c r="T43" s="99">
        <f t="shared" si="21"/>
        <v>437</v>
      </c>
      <c r="U43" s="99">
        <f t="shared" si="21"/>
        <v>437</v>
      </c>
      <c r="V43" s="99">
        <f t="shared" si="21"/>
        <v>437</v>
      </c>
      <c r="W43" s="99">
        <f t="shared" si="21"/>
        <v>437</v>
      </c>
      <c r="X43" s="99">
        <f t="shared" si="21"/>
        <v>437</v>
      </c>
      <c r="Y43" s="99">
        <f t="shared" si="21"/>
        <v>437</v>
      </c>
      <c r="Z43" s="99">
        <f t="shared" si="21"/>
        <v>437</v>
      </c>
      <c r="AA43" s="99">
        <f t="shared" si="21"/>
        <v>437</v>
      </c>
      <c r="AB43" s="99">
        <f t="shared" si="21"/>
        <v>437</v>
      </c>
      <c r="AC43" s="99">
        <f t="shared" si="21"/>
        <v>437</v>
      </c>
      <c r="AD43" s="99">
        <f t="shared" si="21"/>
        <v>437</v>
      </c>
      <c r="AE43" s="99">
        <f t="shared" si="21"/>
        <v>437</v>
      </c>
      <c r="AF43" s="99">
        <f t="shared" si="21"/>
        <v>437</v>
      </c>
      <c r="AG43" s="99">
        <f t="shared" si="21"/>
        <v>437</v>
      </c>
    </row>
    <row r="44" spans="2:33" ht="4.5" customHeight="1" x14ac:dyDescent="0.25">
      <c r="B44" s="5"/>
      <c r="C44" s="5"/>
      <c r="N44" s="5"/>
      <c r="O44" s="5"/>
      <c r="P44" s="5"/>
      <c r="Q44" s="5"/>
      <c r="R44" s="5"/>
      <c r="S44" s="5"/>
      <c r="T44" s="5"/>
      <c r="U44" s="5"/>
      <c r="V44" s="5"/>
      <c r="W44" s="5"/>
      <c r="X44" s="5"/>
      <c r="Y44" s="5"/>
      <c r="Z44" s="5"/>
      <c r="AA44" s="5"/>
      <c r="AB44" s="5"/>
    </row>
    <row r="45" spans="2:33" ht="13.5" customHeight="1" x14ac:dyDescent="0.25">
      <c r="B45" s="291" t="s">
        <v>344</v>
      </c>
      <c r="C45" s="55" t="str">
        <f>+'Dati di Supporto'!C16</f>
        <v>V0</v>
      </c>
      <c r="D45" s="51" t="str">
        <f>+'Dati di Supporto'!D16</f>
        <v>Valore medio del tempo</v>
      </c>
      <c r="E45" s="51" t="s">
        <v>618</v>
      </c>
      <c r="F45" s="100">
        <f>+'Dati di Supporto'!$Q16</f>
        <v>9.6931880949912728</v>
      </c>
      <c r="G45" s="100">
        <f t="shared" ref="G45:AG45" si="22">+$F45</f>
        <v>9.6931880949912728</v>
      </c>
      <c r="H45" s="100">
        <f t="shared" si="22"/>
        <v>9.6931880949912728</v>
      </c>
      <c r="I45" s="100">
        <f t="shared" si="22"/>
        <v>9.6931880949912728</v>
      </c>
      <c r="J45" s="100">
        <f t="shared" si="22"/>
        <v>9.6931880949912728</v>
      </c>
      <c r="K45" s="100">
        <f t="shared" si="22"/>
        <v>9.6931880949912728</v>
      </c>
      <c r="L45" s="100">
        <f t="shared" si="22"/>
        <v>9.6931880949912728</v>
      </c>
      <c r="M45" s="100">
        <f t="shared" si="22"/>
        <v>9.6931880949912728</v>
      </c>
      <c r="N45" s="100">
        <f t="shared" si="22"/>
        <v>9.6931880949912728</v>
      </c>
      <c r="O45" s="100">
        <f t="shared" si="22"/>
        <v>9.6931880949912728</v>
      </c>
      <c r="P45" s="100">
        <f t="shared" si="22"/>
        <v>9.6931880949912728</v>
      </c>
      <c r="Q45" s="100">
        <f t="shared" si="22"/>
        <v>9.6931880949912728</v>
      </c>
      <c r="R45" s="100">
        <f t="shared" si="22"/>
        <v>9.6931880949912728</v>
      </c>
      <c r="S45" s="100">
        <f t="shared" si="22"/>
        <v>9.6931880949912728</v>
      </c>
      <c r="T45" s="100">
        <f t="shared" si="22"/>
        <v>9.6931880949912728</v>
      </c>
      <c r="U45" s="100">
        <f t="shared" si="22"/>
        <v>9.6931880949912728</v>
      </c>
      <c r="V45" s="100">
        <f t="shared" si="22"/>
        <v>9.6931880949912728</v>
      </c>
      <c r="W45" s="100">
        <f t="shared" si="22"/>
        <v>9.6931880949912728</v>
      </c>
      <c r="X45" s="100">
        <f t="shared" si="22"/>
        <v>9.6931880949912728</v>
      </c>
      <c r="Y45" s="100">
        <f t="shared" si="22"/>
        <v>9.6931880949912728</v>
      </c>
      <c r="Z45" s="100">
        <f t="shared" si="22"/>
        <v>9.6931880949912728</v>
      </c>
      <c r="AA45" s="100">
        <f t="shared" si="22"/>
        <v>9.6931880949912728</v>
      </c>
      <c r="AB45" s="100">
        <f t="shared" si="22"/>
        <v>9.6931880949912728</v>
      </c>
      <c r="AC45" s="100">
        <f t="shared" si="22"/>
        <v>9.6931880949912728</v>
      </c>
      <c r="AD45" s="100">
        <f t="shared" si="22"/>
        <v>9.6931880949912728</v>
      </c>
      <c r="AE45" s="100">
        <f t="shared" si="22"/>
        <v>9.6931880949912728</v>
      </c>
      <c r="AF45" s="100">
        <f t="shared" si="22"/>
        <v>9.6931880949912728</v>
      </c>
      <c r="AG45" s="100">
        <f t="shared" si="22"/>
        <v>9.6931880949912728</v>
      </c>
    </row>
    <row r="46" spans="2:33" ht="13.5" customHeight="1" x14ac:dyDescent="0.25">
      <c r="B46" s="291"/>
      <c r="C46" s="55" t="str">
        <f>+'Dati di Supporto'!C17</f>
        <v>V1</v>
      </c>
      <c r="D46" s="51" t="str">
        <f>+'Dati di Supporto'!D17</f>
        <v>Costo marginale dell'incidentalità  (metro)</v>
      </c>
      <c r="E46" s="51" t="s">
        <v>616</v>
      </c>
      <c r="F46" s="68">
        <v>0</v>
      </c>
      <c r="G46" s="100">
        <f t="shared" ref="G46:AG61" si="23">+$F46</f>
        <v>0</v>
      </c>
      <c r="H46" s="100">
        <f t="shared" si="23"/>
        <v>0</v>
      </c>
      <c r="I46" s="100">
        <f t="shared" si="23"/>
        <v>0</v>
      </c>
      <c r="J46" s="100">
        <f t="shared" si="23"/>
        <v>0</v>
      </c>
      <c r="K46" s="100">
        <f t="shared" si="23"/>
        <v>0</v>
      </c>
      <c r="L46" s="100">
        <f t="shared" si="23"/>
        <v>0</v>
      </c>
      <c r="M46" s="100">
        <f t="shared" si="23"/>
        <v>0</v>
      </c>
      <c r="N46" s="100">
        <f t="shared" si="23"/>
        <v>0</v>
      </c>
      <c r="O46" s="100">
        <f t="shared" si="23"/>
        <v>0</v>
      </c>
      <c r="P46" s="100">
        <f t="shared" si="23"/>
        <v>0</v>
      </c>
      <c r="Q46" s="100">
        <f t="shared" si="23"/>
        <v>0</v>
      </c>
      <c r="R46" s="100">
        <f t="shared" si="23"/>
        <v>0</v>
      </c>
      <c r="S46" s="100">
        <f t="shared" si="23"/>
        <v>0</v>
      </c>
      <c r="T46" s="100">
        <f t="shared" si="23"/>
        <v>0</v>
      </c>
      <c r="U46" s="100">
        <f t="shared" si="23"/>
        <v>0</v>
      </c>
      <c r="V46" s="100">
        <f t="shared" si="23"/>
        <v>0</v>
      </c>
      <c r="W46" s="100">
        <f t="shared" si="23"/>
        <v>0</v>
      </c>
      <c r="X46" s="100">
        <f t="shared" si="23"/>
        <v>0</v>
      </c>
      <c r="Y46" s="100">
        <f t="shared" si="23"/>
        <v>0</v>
      </c>
      <c r="Z46" s="100">
        <f t="shared" si="23"/>
        <v>0</v>
      </c>
      <c r="AA46" s="100">
        <f t="shared" si="23"/>
        <v>0</v>
      </c>
      <c r="AB46" s="100">
        <f t="shared" si="23"/>
        <v>0</v>
      </c>
      <c r="AC46" s="100">
        <f t="shared" si="23"/>
        <v>0</v>
      </c>
      <c r="AD46" s="100">
        <f t="shared" si="23"/>
        <v>0</v>
      </c>
      <c r="AE46" s="100">
        <f t="shared" si="23"/>
        <v>0</v>
      </c>
      <c r="AF46" s="100">
        <f t="shared" si="23"/>
        <v>0</v>
      </c>
      <c r="AG46" s="100">
        <f t="shared" si="23"/>
        <v>0</v>
      </c>
    </row>
    <row r="47" spans="2:33" ht="13.5" customHeight="1" x14ac:dyDescent="0.25">
      <c r="B47" s="291"/>
      <c r="C47" s="55" t="str">
        <f>+'Dati di Supporto'!C18</f>
        <v>V2</v>
      </c>
      <c r="D47" s="51" t="str">
        <f>+'Dati di Supporto'!D18</f>
        <v>Costo marginale dell'incidentalità  (tram)</v>
      </c>
      <c r="E47" s="51" t="s">
        <v>616</v>
      </c>
      <c r="F47" s="68">
        <v>0</v>
      </c>
      <c r="G47" s="100">
        <f t="shared" si="23"/>
        <v>0</v>
      </c>
      <c r="H47" s="100">
        <f t="shared" si="23"/>
        <v>0</v>
      </c>
      <c r="I47" s="100">
        <f t="shared" si="23"/>
        <v>0</v>
      </c>
      <c r="J47" s="100">
        <f t="shared" si="23"/>
        <v>0</v>
      </c>
      <c r="K47" s="100">
        <f t="shared" si="23"/>
        <v>0</v>
      </c>
      <c r="L47" s="100">
        <f t="shared" si="23"/>
        <v>0</v>
      </c>
      <c r="M47" s="100">
        <f t="shared" si="23"/>
        <v>0</v>
      </c>
      <c r="N47" s="100">
        <f t="shared" si="23"/>
        <v>0</v>
      </c>
      <c r="O47" s="100">
        <f t="shared" si="23"/>
        <v>0</v>
      </c>
      <c r="P47" s="100">
        <f t="shared" si="23"/>
        <v>0</v>
      </c>
      <c r="Q47" s="100">
        <f t="shared" si="23"/>
        <v>0</v>
      </c>
      <c r="R47" s="100">
        <f t="shared" si="23"/>
        <v>0</v>
      </c>
      <c r="S47" s="100">
        <f t="shared" si="23"/>
        <v>0</v>
      </c>
      <c r="T47" s="100">
        <f t="shared" si="23"/>
        <v>0</v>
      </c>
      <c r="U47" s="100">
        <f t="shared" si="23"/>
        <v>0</v>
      </c>
      <c r="V47" s="100">
        <f t="shared" si="23"/>
        <v>0</v>
      </c>
      <c r="W47" s="100">
        <f t="shared" si="23"/>
        <v>0</v>
      </c>
      <c r="X47" s="100">
        <f t="shared" si="23"/>
        <v>0</v>
      </c>
      <c r="Y47" s="100">
        <f t="shared" si="23"/>
        <v>0</v>
      </c>
      <c r="Z47" s="100">
        <f t="shared" si="23"/>
        <v>0</v>
      </c>
      <c r="AA47" s="100">
        <f t="shared" si="23"/>
        <v>0</v>
      </c>
      <c r="AB47" s="100">
        <f t="shared" si="23"/>
        <v>0</v>
      </c>
      <c r="AC47" s="100">
        <f t="shared" si="23"/>
        <v>0</v>
      </c>
      <c r="AD47" s="100">
        <f t="shared" si="23"/>
        <v>0</v>
      </c>
      <c r="AE47" s="100">
        <f t="shared" si="23"/>
        <v>0</v>
      </c>
      <c r="AF47" s="100">
        <f t="shared" si="23"/>
        <v>0</v>
      </c>
      <c r="AG47" s="100">
        <f t="shared" si="23"/>
        <v>0</v>
      </c>
    </row>
    <row r="48" spans="2:33" ht="13.5" customHeight="1" x14ac:dyDescent="0.25">
      <c r="B48" s="291"/>
      <c r="C48" s="55" t="str">
        <f>+'Dati di Supporto'!C19</f>
        <v>V3</v>
      </c>
      <c r="D48" s="51" t="str">
        <f>+'Dati di Supporto'!D19</f>
        <v>Costo marginale dell'incidentalità  (filobus)</v>
      </c>
      <c r="E48" s="51" t="s">
        <v>616</v>
      </c>
      <c r="F48" s="38">
        <f>+'Dati di Supporto'!$Q19</f>
        <v>4.3780298507462678E-2</v>
      </c>
      <c r="G48" s="100">
        <f t="shared" si="23"/>
        <v>4.3780298507462678E-2</v>
      </c>
      <c r="H48" s="100">
        <f t="shared" si="23"/>
        <v>4.3780298507462678E-2</v>
      </c>
      <c r="I48" s="100">
        <f t="shared" si="23"/>
        <v>4.3780298507462678E-2</v>
      </c>
      <c r="J48" s="100">
        <f t="shared" si="23"/>
        <v>4.3780298507462678E-2</v>
      </c>
      <c r="K48" s="100">
        <f t="shared" si="23"/>
        <v>4.3780298507462678E-2</v>
      </c>
      <c r="L48" s="100">
        <f t="shared" si="23"/>
        <v>4.3780298507462678E-2</v>
      </c>
      <c r="M48" s="100">
        <f t="shared" si="23"/>
        <v>4.3780298507462678E-2</v>
      </c>
      <c r="N48" s="100">
        <f t="shared" si="23"/>
        <v>4.3780298507462678E-2</v>
      </c>
      <c r="O48" s="100">
        <f t="shared" si="23"/>
        <v>4.3780298507462678E-2</v>
      </c>
      <c r="P48" s="100">
        <f t="shared" si="23"/>
        <v>4.3780298507462678E-2</v>
      </c>
      <c r="Q48" s="100">
        <f t="shared" si="23"/>
        <v>4.3780298507462678E-2</v>
      </c>
      <c r="R48" s="100">
        <f t="shared" si="23"/>
        <v>4.3780298507462678E-2</v>
      </c>
      <c r="S48" s="100">
        <f t="shared" si="23"/>
        <v>4.3780298507462678E-2</v>
      </c>
      <c r="T48" s="100">
        <f t="shared" si="23"/>
        <v>4.3780298507462678E-2</v>
      </c>
      <c r="U48" s="100">
        <f t="shared" si="23"/>
        <v>4.3780298507462678E-2</v>
      </c>
      <c r="V48" s="100">
        <f t="shared" si="23"/>
        <v>4.3780298507462678E-2</v>
      </c>
      <c r="W48" s="100">
        <f t="shared" si="23"/>
        <v>4.3780298507462678E-2</v>
      </c>
      <c r="X48" s="100">
        <f t="shared" si="23"/>
        <v>4.3780298507462678E-2</v>
      </c>
      <c r="Y48" s="100">
        <f t="shared" si="23"/>
        <v>4.3780298507462678E-2</v>
      </c>
      <c r="Z48" s="100">
        <f t="shared" si="23"/>
        <v>4.3780298507462678E-2</v>
      </c>
      <c r="AA48" s="100">
        <f t="shared" si="23"/>
        <v>4.3780298507462678E-2</v>
      </c>
      <c r="AB48" s="100">
        <f t="shared" si="23"/>
        <v>4.3780298507462678E-2</v>
      </c>
      <c r="AC48" s="100">
        <f t="shared" si="23"/>
        <v>4.3780298507462678E-2</v>
      </c>
      <c r="AD48" s="100">
        <f t="shared" si="23"/>
        <v>4.3780298507462678E-2</v>
      </c>
      <c r="AE48" s="100">
        <f t="shared" si="23"/>
        <v>4.3780298507462678E-2</v>
      </c>
      <c r="AF48" s="100">
        <f t="shared" si="23"/>
        <v>4.3780298507462678E-2</v>
      </c>
      <c r="AG48" s="100">
        <f t="shared" si="23"/>
        <v>4.3780298507462678E-2</v>
      </c>
    </row>
    <row r="49" spans="2:33" ht="13.5" customHeight="1" x14ac:dyDescent="0.25">
      <c r="B49" s="291"/>
      <c r="C49" s="55" t="str">
        <f>+'Dati di Supporto'!C20</f>
        <v>V4</v>
      </c>
      <c r="D49" s="51" t="str">
        <f>+'Dati di Supporto'!D20</f>
        <v>Costo marginale dell'incidentalità  (altro TPL)</v>
      </c>
      <c r="E49" s="51" t="s">
        <v>616</v>
      </c>
      <c r="F49" s="68">
        <v>0</v>
      </c>
      <c r="G49" s="100">
        <f t="shared" si="23"/>
        <v>0</v>
      </c>
      <c r="H49" s="100">
        <f t="shared" si="23"/>
        <v>0</v>
      </c>
      <c r="I49" s="100">
        <f t="shared" si="23"/>
        <v>0</v>
      </c>
      <c r="J49" s="100">
        <f t="shared" si="23"/>
        <v>0</v>
      </c>
      <c r="K49" s="100">
        <f t="shared" si="23"/>
        <v>0</v>
      </c>
      <c r="L49" s="100">
        <f t="shared" si="23"/>
        <v>0</v>
      </c>
      <c r="M49" s="100">
        <f t="shared" si="23"/>
        <v>0</v>
      </c>
      <c r="N49" s="100">
        <f t="shared" si="23"/>
        <v>0</v>
      </c>
      <c r="O49" s="100">
        <f t="shared" si="23"/>
        <v>0</v>
      </c>
      <c r="P49" s="100">
        <f t="shared" si="23"/>
        <v>0</v>
      </c>
      <c r="Q49" s="100">
        <f t="shared" si="23"/>
        <v>0</v>
      </c>
      <c r="R49" s="100">
        <f t="shared" si="23"/>
        <v>0</v>
      </c>
      <c r="S49" s="100">
        <f t="shared" si="23"/>
        <v>0</v>
      </c>
      <c r="T49" s="100">
        <f t="shared" si="23"/>
        <v>0</v>
      </c>
      <c r="U49" s="100">
        <f t="shared" si="23"/>
        <v>0</v>
      </c>
      <c r="V49" s="100">
        <f t="shared" si="23"/>
        <v>0</v>
      </c>
      <c r="W49" s="100">
        <f t="shared" si="23"/>
        <v>0</v>
      </c>
      <c r="X49" s="100">
        <f t="shared" si="23"/>
        <v>0</v>
      </c>
      <c r="Y49" s="100">
        <f t="shared" si="23"/>
        <v>0</v>
      </c>
      <c r="Z49" s="100">
        <f t="shared" si="23"/>
        <v>0</v>
      </c>
      <c r="AA49" s="100">
        <f t="shared" si="23"/>
        <v>0</v>
      </c>
      <c r="AB49" s="100">
        <f t="shared" si="23"/>
        <v>0</v>
      </c>
      <c r="AC49" s="100">
        <f t="shared" si="23"/>
        <v>0</v>
      </c>
      <c r="AD49" s="100">
        <f t="shared" si="23"/>
        <v>0</v>
      </c>
      <c r="AE49" s="100">
        <f t="shared" si="23"/>
        <v>0</v>
      </c>
      <c r="AF49" s="100">
        <f t="shared" si="23"/>
        <v>0</v>
      </c>
      <c r="AG49" s="100">
        <f t="shared" si="23"/>
        <v>0</v>
      </c>
    </row>
    <row r="50" spans="2:33" ht="13.5" customHeight="1" x14ac:dyDescent="0.25">
      <c r="B50" s="291"/>
      <c r="C50" s="55" t="str">
        <f>+'Dati di Supporto'!C21</f>
        <v>V5</v>
      </c>
      <c r="D50" s="51" t="str">
        <f>+'Dati di Supporto'!D21</f>
        <v>Costo marginale dell'incidentalità  (autobus)</v>
      </c>
      <c r="E50" s="51" t="s">
        <v>616</v>
      </c>
      <c r="F50" s="38">
        <f>+'Dati di Supporto'!$Q21</f>
        <v>4.3780298507462678E-2</v>
      </c>
      <c r="G50" s="100">
        <f t="shared" si="23"/>
        <v>4.3780298507462678E-2</v>
      </c>
      <c r="H50" s="100">
        <f t="shared" si="23"/>
        <v>4.3780298507462678E-2</v>
      </c>
      <c r="I50" s="100">
        <f t="shared" si="23"/>
        <v>4.3780298507462678E-2</v>
      </c>
      <c r="J50" s="100">
        <f t="shared" si="23"/>
        <v>4.3780298507462678E-2</v>
      </c>
      <c r="K50" s="100">
        <f t="shared" si="23"/>
        <v>4.3780298507462678E-2</v>
      </c>
      <c r="L50" s="100">
        <f t="shared" si="23"/>
        <v>4.3780298507462678E-2</v>
      </c>
      <c r="M50" s="100">
        <f t="shared" si="23"/>
        <v>4.3780298507462678E-2</v>
      </c>
      <c r="N50" s="100">
        <f t="shared" si="23"/>
        <v>4.3780298507462678E-2</v>
      </c>
      <c r="O50" s="100">
        <f t="shared" si="23"/>
        <v>4.3780298507462678E-2</v>
      </c>
      <c r="P50" s="100">
        <f t="shared" si="23"/>
        <v>4.3780298507462678E-2</v>
      </c>
      <c r="Q50" s="100">
        <f t="shared" si="23"/>
        <v>4.3780298507462678E-2</v>
      </c>
      <c r="R50" s="100">
        <f t="shared" si="23"/>
        <v>4.3780298507462678E-2</v>
      </c>
      <c r="S50" s="100">
        <f t="shared" si="23"/>
        <v>4.3780298507462678E-2</v>
      </c>
      <c r="T50" s="100">
        <f t="shared" si="23"/>
        <v>4.3780298507462678E-2</v>
      </c>
      <c r="U50" s="100">
        <f t="shared" si="23"/>
        <v>4.3780298507462678E-2</v>
      </c>
      <c r="V50" s="100">
        <f t="shared" si="23"/>
        <v>4.3780298507462678E-2</v>
      </c>
      <c r="W50" s="100">
        <f t="shared" si="23"/>
        <v>4.3780298507462678E-2</v>
      </c>
      <c r="X50" s="100">
        <f t="shared" si="23"/>
        <v>4.3780298507462678E-2</v>
      </c>
      <c r="Y50" s="100">
        <f t="shared" si="23"/>
        <v>4.3780298507462678E-2</v>
      </c>
      <c r="Z50" s="100">
        <f t="shared" si="23"/>
        <v>4.3780298507462678E-2</v>
      </c>
      <c r="AA50" s="100">
        <f t="shared" si="23"/>
        <v>4.3780298507462678E-2</v>
      </c>
      <c r="AB50" s="100">
        <f t="shared" si="23"/>
        <v>4.3780298507462678E-2</v>
      </c>
      <c r="AC50" s="100">
        <f t="shared" si="23"/>
        <v>4.3780298507462678E-2</v>
      </c>
      <c r="AD50" s="100">
        <f t="shared" ref="O50:AG61" si="24">+$F50</f>
        <v>4.3780298507462678E-2</v>
      </c>
      <c r="AE50" s="100">
        <f t="shared" si="24"/>
        <v>4.3780298507462678E-2</v>
      </c>
      <c r="AF50" s="100">
        <f t="shared" si="24"/>
        <v>4.3780298507462678E-2</v>
      </c>
      <c r="AG50" s="100">
        <f t="shared" si="24"/>
        <v>4.3780298507462678E-2</v>
      </c>
    </row>
    <row r="51" spans="2:33" ht="13.5" customHeight="1" x14ac:dyDescent="0.25">
      <c r="B51" s="291"/>
      <c r="C51" s="55" t="str">
        <f>+'Dati di Supporto'!C22</f>
        <v>V6</v>
      </c>
      <c r="D51" s="51" t="str">
        <f>+'Dati di Supporto'!D22</f>
        <v>Costo marginale dell'incidentalità  (auto)</v>
      </c>
      <c r="E51" s="51" t="s">
        <v>616</v>
      </c>
      <c r="F51" s="38">
        <f>+'Dati di Supporto'!$Q22</f>
        <v>6.5670447761194033E-3</v>
      </c>
      <c r="G51" s="100">
        <f t="shared" si="23"/>
        <v>6.5670447761194033E-3</v>
      </c>
      <c r="H51" s="100">
        <f t="shared" si="23"/>
        <v>6.5670447761194033E-3</v>
      </c>
      <c r="I51" s="100">
        <f t="shared" si="23"/>
        <v>6.5670447761194033E-3</v>
      </c>
      <c r="J51" s="100">
        <f t="shared" si="23"/>
        <v>6.5670447761194033E-3</v>
      </c>
      <c r="K51" s="100">
        <f t="shared" si="23"/>
        <v>6.5670447761194033E-3</v>
      </c>
      <c r="L51" s="100">
        <f t="shared" si="23"/>
        <v>6.5670447761194033E-3</v>
      </c>
      <c r="M51" s="100">
        <f t="shared" si="23"/>
        <v>6.5670447761194033E-3</v>
      </c>
      <c r="N51" s="100">
        <f t="shared" si="23"/>
        <v>6.5670447761194033E-3</v>
      </c>
      <c r="O51" s="100">
        <f t="shared" si="24"/>
        <v>6.5670447761194033E-3</v>
      </c>
      <c r="P51" s="100">
        <f t="shared" si="24"/>
        <v>6.5670447761194033E-3</v>
      </c>
      <c r="Q51" s="100">
        <f t="shared" si="24"/>
        <v>6.5670447761194033E-3</v>
      </c>
      <c r="R51" s="100">
        <f t="shared" si="24"/>
        <v>6.5670447761194033E-3</v>
      </c>
      <c r="S51" s="100">
        <f t="shared" si="24"/>
        <v>6.5670447761194033E-3</v>
      </c>
      <c r="T51" s="100">
        <f t="shared" si="24"/>
        <v>6.5670447761194033E-3</v>
      </c>
      <c r="U51" s="100">
        <f t="shared" si="24"/>
        <v>6.5670447761194033E-3</v>
      </c>
      <c r="V51" s="100">
        <f t="shared" si="24"/>
        <v>6.5670447761194033E-3</v>
      </c>
      <c r="W51" s="100">
        <f t="shared" si="24"/>
        <v>6.5670447761194033E-3</v>
      </c>
      <c r="X51" s="100">
        <f t="shared" si="24"/>
        <v>6.5670447761194033E-3</v>
      </c>
      <c r="Y51" s="100">
        <f t="shared" si="24"/>
        <v>6.5670447761194033E-3</v>
      </c>
      <c r="Z51" s="100">
        <f t="shared" si="24"/>
        <v>6.5670447761194033E-3</v>
      </c>
      <c r="AA51" s="100">
        <f t="shared" si="24"/>
        <v>6.5670447761194033E-3</v>
      </c>
      <c r="AB51" s="100">
        <f t="shared" si="24"/>
        <v>6.5670447761194033E-3</v>
      </c>
      <c r="AC51" s="100">
        <f t="shared" si="24"/>
        <v>6.5670447761194033E-3</v>
      </c>
      <c r="AD51" s="100">
        <f t="shared" si="24"/>
        <v>6.5670447761194033E-3</v>
      </c>
      <c r="AE51" s="100">
        <f t="shared" si="24"/>
        <v>6.5670447761194033E-3</v>
      </c>
      <c r="AF51" s="100">
        <f t="shared" si="24"/>
        <v>6.5670447761194033E-3</v>
      </c>
      <c r="AG51" s="100">
        <f t="shared" si="24"/>
        <v>6.5670447761194033E-3</v>
      </c>
    </row>
    <row r="52" spans="2:33" ht="13.5" customHeight="1" x14ac:dyDescent="0.25">
      <c r="B52" s="291"/>
      <c r="C52" s="55" t="str">
        <f>+'Dati di Supporto'!C23</f>
        <v>V7</v>
      </c>
      <c r="D52" s="51" t="str">
        <f>+'Dati di Supporto'!D23</f>
        <v>Costo marginale dell'incidentalità  (moto)</v>
      </c>
      <c r="E52" s="51" t="s">
        <v>616</v>
      </c>
      <c r="F52" s="38">
        <f>+'Dati di Supporto'!$Q23</f>
        <v>1.6417611940298511E-2</v>
      </c>
      <c r="G52" s="100">
        <f t="shared" si="23"/>
        <v>1.6417611940298511E-2</v>
      </c>
      <c r="H52" s="100">
        <f t="shared" si="23"/>
        <v>1.6417611940298511E-2</v>
      </c>
      <c r="I52" s="100">
        <f t="shared" si="23"/>
        <v>1.6417611940298511E-2</v>
      </c>
      <c r="J52" s="100">
        <f t="shared" si="23"/>
        <v>1.6417611940298511E-2</v>
      </c>
      <c r="K52" s="100">
        <f t="shared" si="23"/>
        <v>1.6417611940298511E-2</v>
      </c>
      <c r="L52" s="100">
        <f t="shared" si="23"/>
        <v>1.6417611940298511E-2</v>
      </c>
      <c r="M52" s="100">
        <f t="shared" si="23"/>
        <v>1.6417611940298511E-2</v>
      </c>
      <c r="N52" s="100">
        <f t="shared" si="23"/>
        <v>1.6417611940298511E-2</v>
      </c>
      <c r="O52" s="100">
        <f t="shared" si="24"/>
        <v>1.6417611940298511E-2</v>
      </c>
      <c r="P52" s="100">
        <f t="shared" si="24"/>
        <v>1.6417611940298511E-2</v>
      </c>
      <c r="Q52" s="100">
        <f t="shared" si="24"/>
        <v>1.6417611940298511E-2</v>
      </c>
      <c r="R52" s="100">
        <f t="shared" si="24"/>
        <v>1.6417611940298511E-2</v>
      </c>
      <c r="S52" s="100">
        <f t="shared" si="24"/>
        <v>1.6417611940298511E-2</v>
      </c>
      <c r="T52" s="100">
        <f t="shared" si="24"/>
        <v>1.6417611940298511E-2</v>
      </c>
      <c r="U52" s="100">
        <f t="shared" si="24"/>
        <v>1.6417611940298511E-2</v>
      </c>
      <c r="V52" s="100">
        <f t="shared" si="24"/>
        <v>1.6417611940298511E-2</v>
      </c>
      <c r="W52" s="100">
        <f t="shared" si="24"/>
        <v>1.6417611940298511E-2</v>
      </c>
      <c r="X52" s="100">
        <f t="shared" si="24"/>
        <v>1.6417611940298511E-2</v>
      </c>
      <c r="Y52" s="100">
        <f t="shared" si="24"/>
        <v>1.6417611940298511E-2</v>
      </c>
      <c r="Z52" s="100">
        <f t="shared" si="24"/>
        <v>1.6417611940298511E-2</v>
      </c>
      <c r="AA52" s="100">
        <f t="shared" si="24"/>
        <v>1.6417611940298511E-2</v>
      </c>
      <c r="AB52" s="100">
        <f t="shared" si="24"/>
        <v>1.6417611940298511E-2</v>
      </c>
      <c r="AC52" s="100">
        <f t="shared" si="24"/>
        <v>1.6417611940298511E-2</v>
      </c>
      <c r="AD52" s="100">
        <f t="shared" si="24"/>
        <v>1.6417611940298511E-2</v>
      </c>
      <c r="AE52" s="100">
        <f t="shared" si="24"/>
        <v>1.6417611940298511E-2</v>
      </c>
      <c r="AF52" s="100">
        <f t="shared" si="24"/>
        <v>1.6417611940298511E-2</v>
      </c>
      <c r="AG52" s="100">
        <f t="shared" si="24"/>
        <v>1.6417611940298511E-2</v>
      </c>
    </row>
    <row r="53" spans="2:33" ht="13.5" customHeight="1" x14ac:dyDescent="0.25">
      <c r="B53" s="291"/>
      <c r="C53" s="55" t="str">
        <f>+'Dati di Supporto'!C24</f>
        <v>V8</v>
      </c>
      <c r="D53" s="51" t="str">
        <f>+'Dati di Supporto'!D24</f>
        <v>Costo marginale delle emissioni inquinanti (metro)</v>
      </c>
      <c r="E53" s="51" t="s">
        <v>616</v>
      </c>
      <c r="F53" s="68">
        <v>0</v>
      </c>
      <c r="G53" s="100">
        <f t="shared" si="23"/>
        <v>0</v>
      </c>
      <c r="H53" s="100">
        <f t="shared" si="23"/>
        <v>0</v>
      </c>
      <c r="I53" s="100">
        <f t="shared" si="23"/>
        <v>0</v>
      </c>
      <c r="J53" s="100">
        <f t="shared" si="23"/>
        <v>0</v>
      </c>
      <c r="K53" s="100">
        <f t="shared" si="23"/>
        <v>0</v>
      </c>
      <c r="L53" s="100">
        <f t="shared" si="23"/>
        <v>0</v>
      </c>
      <c r="M53" s="100">
        <f t="shared" si="23"/>
        <v>0</v>
      </c>
      <c r="N53" s="100">
        <f t="shared" si="23"/>
        <v>0</v>
      </c>
      <c r="O53" s="100">
        <f t="shared" si="24"/>
        <v>0</v>
      </c>
      <c r="P53" s="100">
        <f t="shared" si="24"/>
        <v>0</v>
      </c>
      <c r="Q53" s="100">
        <f t="shared" si="24"/>
        <v>0</v>
      </c>
      <c r="R53" s="100">
        <f t="shared" si="24"/>
        <v>0</v>
      </c>
      <c r="S53" s="100">
        <f t="shared" si="24"/>
        <v>0</v>
      </c>
      <c r="T53" s="100">
        <f t="shared" si="24"/>
        <v>0</v>
      </c>
      <c r="U53" s="100">
        <f t="shared" si="24"/>
        <v>0</v>
      </c>
      <c r="V53" s="100">
        <f t="shared" si="24"/>
        <v>0</v>
      </c>
      <c r="W53" s="100">
        <f t="shared" si="24"/>
        <v>0</v>
      </c>
      <c r="X53" s="100">
        <f t="shared" si="24"/>
        <v>0</v>
      </c>
      <c r="Y53" s="100">
        <f t="shared" si="24"/>
        <v>0</v>
      </c>
      <c r="Z53" s="100">
        <f t="shared" si="24"/>
        <v>0</v>
      </c>
      <c r="AA53" s="100">
        <f t="shared" si="24"/>
        <v>0</v>
      </c>
      <c r="AB53" s="100">
        <f t="shared" si="24"/>
        <v>0</v>
      </c>
      <c r="AC53" s="100">
        <f t="shared" si="24"/>
        <v>0</v>
      </c>
      <c r="AD53" s="100">
        <f t="shared" si="24"/>
        <v>0</v>
      </c>
      <c r="AE53" s="100">
        <f t="shared" si="24"/>
        <v>0</v>
      </c>
      <c r="AF53" s="100">
        <f t="shared" si="24"/>
        <v>0</v>
      </c>
      <c r="AG53" s="100">
        <f t="shared" si="24"/>
        <v>0</v>
      </c>
    </row>
    <row r="54" spans="2:33" ht="13.5" customHeight="1" x14ac:dyDescent="0.25">
      <c r="B54" s="291"/>
      <c r="C54" s="55" t="str">
        <f>+'Dati di Supporto'!C25</f>
        <v>V9</v>
      </c>
      <c r="D54" s="51" t="str">
        <f>+'Dati di Supporto'!D25</f>
        <v>Costo marginale delle emissioni inquinanti (tram)</v>
      </c>
      <c r="E54" s="51" t="s">
        <v>616</v>
      </c>
      <c r="F54" s="68">
        <v>0</v>
      </c>
      <c r="G54" s="100">
        <f t="shared" si="23"/>
        <v>0</v>
      </c>
      <c r="H54" s="100">
        <f t="shared" si="23"/>
        <v>0</v>
      </c>
      <c r="I54" s="100">
        <f t="shared" si="23"/>
        <v>0</v>
      </c>
      <c r="J54" s="100">
        <f t="shared" si="23"/>
        <v>0</v>
      </c>
      <c r="K54" s="100">
        <f t="shared" si="23"/>
        <v>0</v>
      </c>
      <c r="L54" s="100">
        <f t="shared" si="23"/>
        <v>0</v>
      </c>
      <c r="M54" s="100">
        <f t="shared" si="23"/>
        <v>0</v>
      </c>
      <c r="N54" s="100">
        <f t="shared" si="23"/>
        <v>0</v>
      </c>
      <c r="O54" s="100">
        <f t="shared" si="24"/>
        <v>0</v>
      </c>
      <c r="P54" s="100">
        <f t="shared" si="24"/>
        <v>0</v>
      </c>
      <c r="Q54" s="100">
        <f t="shared" si="24"/>
        <v>0</v>
      </c>
      <c r="R54" s="100">
        <f t="shared" si="24"/>
        <v>0</v>
      </c>
      <c r="S54" s="100">
        <f t="shared" si="24"/>
        <v>0</v>
      </c>
      <c r="T54" s="100">
        <f t="shared" si="24"/>
        <v>0</v>
      </c>
      <c r="U54" s="100">
        <f t="shared" si="24"/>
        <v>0</v>
      </c>
      <c r="V54" s="100">
        <f t="shared" si="24"/>
        <v>0</v>
      </c>
      <c r="W54" s="100">
        <f t="shared" si="24"/>
        <v>0</v>
      </c>
      <c r="X54" s="100">
        <f t="shared" si="24"/>
        <v>0</v>
      </c>
      <c r="Y54" s="100">
        <f t="shared" si="24"/>
        <v>0</v>
      </c>
      <c r="Z54" s="100">
        <f t="shared" si="24"/>
        <v>0</v>
      </c>
      <c r="AA54" s="100">
        <f t="shared" si="24"/>
        <v>0</v>
      </c>
      <c r="AB54" s="100">
        <f t="shared" si="24"/>
        <v>0</v>
      </c>
      <c r="AC54" s="100">
        <f t="shared" si="24"/>
        <v>0</v>
      </c>
      <c r="AD54" s="100">
        <f t="shared" si="24"/>
        <v>0</v>
      </c>
      <c r="AE54" s="100">
        <f t="shared" si="24"/>
        <v>0</v>
      </c>
      <c r="AF54" s="100">
        <f t="shared" si="24"/>
        <v>0</v>
      </c>
      <c r="AG54" s="100">
        <f t="shared" si="24"/>
        <v>0</v>
      </c>
    </row>
    <row r="55" spans="2:33" ht="13.5" customHeight="1" x14ac:dyDescent="0.25">
      <c r="B55" s="291"/>
      <c r="C55" s="55" t="str">
        <f>+'Dati di Supporto'!C26</f>
        <v>V10</v>
      </c>
      <c r="D55" s="51" t="str">
        <f>+'Dati di Supporto'!D26</f>
        <v>Costo marginale delle emissioni inquinanti (filobus)</v>
      </c>
      <c r="E55" s="51" t="s">
        <v>616</v>
      </c>
      <c r="F55" s="68">
        <v>0</v>
      </c>
      <c r="G55" s="100">
        <f t="shared" si="23"/>
        <v>0</v>
      </c>
      <c r="H55" s="100">
        <f t="shared" si="23"/>
        <v>0</v>
      </c>
      <c r="I55" s="100">
        <f t="shared" si="23"/>
        <v>0</v>
      </c>
      <c r="J55" s="100">
        <f t="shared" si="23"/>
        <v>0</v>
      </c>
      <c r="K55" s="100">
        <f t="shared" si="23"/>
        <v>0</v>
      </c>
      <c r="L55" s="100">
        <f t="shared" si="23"/>
        <v>0</v>
      </c>
      <c r="M55" s="100">
        <f t="shared" si="23"/>
        <v>0</v>
      </c>
      <c r="N55" s="100">
        <f t="shared" si="23"/>
        <v>0</v>
      </c>
      <c r="O55" s="100">
        <f t="shared" si="24"/>
        <v>0</v>
      </c>
      <c r="P55" s="100">
        <f t="shared" si="24"/>
        <v>0</v>
      </c>
      <c r="Q55" s="100">
        <f t="shared" si="24"/>
        <v>0</v>
      </c>
      <c r="R55" s="100">
        <f t="shared" si="24"/>
        <v>0</v>
      </c>
      <c r="S55" s="100">
        <f t="shared" si="24"/>
        <v>0</v>
      </c>
      <c r="T55" s="100">
        <f t="shared" si="24"/>
        <v>0</v>
      </c>
      <c r="U55" s="100">
        <f t="shared" si="24"/>
        <v>0</v>
      </c>
      <c r="V55" s="100">
        <f t="shared" si="24"/>
        <v>0</v>
      </c>
      <c r="W55" s="100">
        <f t="shared" si="24"/>
        <v>0</v>
      </c>
      <c r="X55" s="100">
        <f t="shared" si="24"/>
        <v>0</v>
      </c>
      <c r="Y55" s="100">
        <f t="shared" si="24"/>
        <v>0</v>
      </c>
      <c r="Z55" s="100">
        <f t="shared" si="24"/>
        <v>0</v>
      </c>
      <c r="AA55" s="100">
        <f t="shared" si="24"/>
        <v>0</v>
      </c>
      <c r="AB55" s="100">
        <f t="shared" si="24"/>
        <v>0</v>
      </c>
      <c r="AC55" s="100">
        <f t="shared" si="24"/>
        <v>0</v>
      </c>
      <c r="AD55" s="100">
        <f t="shared" si="24"/>
        <v>0</v>
      </c>
      <c r="AE55" s="100">
        <f t="shared" si="24"/>
        <v>0</v>
      </c>
      <c r="AF55" s="100">
        <f t="shared" si="24"/>
        <v>0</v>
      </c>
      <c r="AG55" s="100">
        <f t="shared" si="24"/>
        <v>0</v>
      </c>
    </row>
    <row r="56" spans="2:33" ht="13.5" customHeight="1" x14ac:dyDescent="0.25">
      <c r="B56" s="291"/>
      <c r="C56" s="55" t="str">
        <f>+'Dati di Supporto'!C27</f>
        <v>V11</v>
      </c>
      <c r="D56" s="51" t="str">
        <f>+'Dati di Supporto'!D27</f>
        <v>Costo marginale delle emissioni inquinanti (altro TPL)</v>
      </c>
      <c r="E56" s="51" t="s">
        <v>616</v>
      </c>
      <c r="F56" s="68">
        <v>0</v>
      </c>
      <c r="G56" s="100">
        <f t="shared" si="23"/>
        <v>0</v>
      </c>
      <c r="H56" s="100">
        <f t="shared" si="23"/>
        <v>0</v>
      </c>
      <c r="I56" s="100">
        <f t="shared" si="23"/>
        <v>0</v>
      </c>
      <c r="J56" s="100">
        <f t="shared" si="23"/>
        <v>0</v>
      </c>
      <c r="K56" s="100">
        <f t="shared" si="23"/>
        <v>0</v>
      </c>
      <c r="L56" s="100">
        <f t="shared" si="23"/>
        <v>0</v>
      </c>
      <c r="M56" s="100">
        <f t="shared" si="23"/>
        <v>0</v>
      </c>
      <c r="N56" s="100">
        <f t="shared" si="23"/>
        <v>0</v>
      </c>
      <c r="O56" s="100">
        <f t="shared" si="24"/>
        <v>0</v>
      </c>
      <c r="P56" s="100">
        <f t="shared" si="24"/>
        <v>0</v>
      </c>
      <c r="Q56" s="100">
        <f t="shared" si="24"/>
        <v>0</v>
      </c>
      <c r="R56" s="100">
        <f t="shared" si="24"/>
        <v>0</v>
      </c>
      <c r="S56" s="100">
        <f t="shared" si="24"/>
        <v>0</v>
      </c>
      <c r="T56" s="100">
        <f t="shared" si="24"/>
        <v>0</v>
      </c>
      <c r="U56" s="100">
        <f t="shared" si="24"/>
        <v>0</v>
      </c>
      <c r="V56" s="100">
        <f t="shared" si="24"/>
        <v>0</v>
      </c>
      <c r="W56" s="100">
        <f t="shared" si="24"/>
        <v>0</v>
      </c>
      <c r="X56" s="100">
        <f t="shared" si="24"/>
        <v>0</v>
      </c>
      <c r="Y56" s="100">
        <f t="shared" si="24"/>
        <v>0</v>
      </c>
      <c r="Z56" s="100">
        <f t="shared" si="24"/>
        <v>0</v>
      </c>
      <c r="AA56" s="100">
        <f t="shared" si="24"/>
        <v>0</v>
      </c>
      <c r="AB56" s="100">
        <f t="shared" si="24"/>
        <v>0</v>
      </c>
      <c r="AC56" s="100">
        <f t="shared" si="24"/>
        <v>0</v>
      </c>
      <c r="AD56" s="100">
        <f t="shared" si="24"/>
        <v>0</v>
      </c>
      <c r="AE56" s="100">
        <f t="shared" si="24"/>
        <v>0</v>
      </c>
      <c r="AF56" s="100">
        <f t="shared" si="24"/>
        <v>0</v>
      </c>
      <c r="AG56" s="100">
        <f t="shared" si="24"/>
        <v>0</v>
      </c>
    </row>
    <row r="57" spans="2:33" ht="13.5" customHeight="1" x14ac:dyDescent="0.25">
      <c r="B57" s="291"/>
      <c r="C57" s="55" t="str">
        <f>+'Dati di Supporto'!C28</f>
        <v>V12</v>
      </c>
      <c r="D57" s="51" t="str">
        <f>+'Dati di Supporto'!D28</f>
        <v>Costo marginale delle emissioni inquinanti (autobus)</v>
      </c>
      <c r="E57" s="51" t="s">
        <v>616</v>
      </c>
      <c r="F57" s="38">
        <f>+'Dati di Supporto'!$Q28</f>
        <v>4.5969313432835827E-2</v>
      </c>
      <c r="G57" s="100">
        <f t="shared" si="23"/>
        <v>4.5969313432835827E-2</v>
      </c>
      <c r="H57" s="100">
        <f t="shared" si="23"/>
        <v>4.5969313432835827E-2</v>
      </c>
      <c r="I57" s="100">
        <f t="shared" si="23"/>
        <v>4.5969313432835827E-2</v>
      </c>
      <c r="J57" s="100">
        <f t="shared" si="23"/>
        <v>4.5969313432835827E-2</v>
      </c>
      <c r="K57" s="100">
        <f t="shared" si="23"/>
        <v>4.5969313432835827E-2</v>
      </c>
      <c r="L57" s="100">
        <f t="shared" si="23"/>
        <v>4.5969313432835827E-2</v>
      </c>
      <c r="M57" s="100">
        <f t="shared" si="23"/>
        <v>4.5969313432835827E-2</v>
      </c>
      <c r="N57" s="100">
        <f t="shared" si="23"/>
        <v>4.5969313432835827E-2</v>
      </c>
      <c r="O57" s="100">
        <f t="shared" si="24"/>
        <v>4.5969313432835827E-2</v>
      </c>
      <c r="P57" s="100">
        <f t="shared" si="24"/>
        <v>4.5969313432835827E-2</v>
      </c>
      <c r="Q57" s="100">
        <f t="shared" si="24"/>
        <v>4.5969313432835827E-2</v>
      </c>
      <c r="R57" s="100">
        <f t="shared" si="24"/>
        <v>4.5969313432835827E-2</v>
      </c>
      <c r="S57" s="100">
        <f t="shared" si="24"/>
        <v>4.5969313432835827E-2</v>
      </c>
      <c r="T57" s="100">
        <f t="shared" si="24"/>
        <v>4.5969313432835827E-2</v>
      </c>
      <c r="U57" s="100">
        <f t="shared" si="24"/>
        <v>4.5969313432835827E-2</v>
      </c>
      <c r="V57" s="100">
        <f t="shared" si="24"/>
        <v>4.5969313432835827E-2</v>
      </c>
      <c r="W57" s="100">
        <f t="shared" si="24"/>
        <v>4.5969313432835827E-2</v>
      </c>
      <c r="X57" s="100">
        <f t="shared" si="24"/>
        <v>4.5969313432835827E-2</v>
      </c>
      <c r="Y57" s="100">
        <f t="shared" si="24"/>
        <v>4.5969313432835827E-2</v>
      </c>
      <c r="Z57" s="100">
        <f t="shared" si="24"/>
        <v>4.5969313432835827E-2</v>
      </c>
      <c r="AA57" s="100">
        <f t="shared" si="24"/>
        <v>4.5969313432835827E-2</v>
      </c>
      <c r="AB57" s="100">
        <f t="shared" si="24"/>
        <v>4.5969313432835827E-2</v>
      </c>
      <c r="AC57" s="100">
        <f t="shared" si="24"/>
        <v>4.5969313432835827E-2</v>
      </c>
      <c r="AD57" s="100">
        <f t="shared" si="24"/>
        <v>4.5969313432835827E-2</v>
      </c>
      <c r="AE57" s="100">
        <f t="shared" si="24"/>
        <v>4.5969313432835827E-2</v>
      </c>
      <c r="AF57" s="100">
        <f t="shared" si="24"/>
        <v>4.5969313432835827E-2</v>
      </c>
      <c r="AG57" s="100">
        <f t="shared" si="24"/>
        <v>4.5969313432835827E-2</v>
      </c>
    </row>
    <row r="58" spans="2:33" ht="13.5" customHeight="1" x14ac:dyDescent="0.25">
      <c r="B58" s="291"/>
      <c r="C58" s="55" t="str">
        <f>+'Dati di Supporto'!C29</f>
        <v>V13</v>
      </c>
      <c r="D58" s="51" t="str">
        <f>+'Dati di Supporto'!D29</f>
        <v>Costo marginale delle emissioni inquinanti (auto)</v>
      </c>
      <c r="E58" s="51" t="s">
        <v>616</v>
      </c>
      <c r="F58" s="38">
        <f>+'Dati di Supporto'!$Q29</f>
        <v>6.5670447761194033E-3</v>
      </c>
      <c r="G58" s="100">
        <f t="shared" si="23"/>
        <v>6.5670447761194033E-3</v>
      </c>
      <c r="H58" s="100">
        <f t="shared" si="23"/>
        <v>6.5670447761194033E-3</v>
      </c>
      <c r="I58" s="100">
        <f t="shared" si="23"/>
        <v>6.5670447761194033E-3</v>
      </c>
      <c r="J58" s="100">
        <f t="shared" si="23"/>
        <v>6.5670447761194033E-3</v>
      </c>
      <c r="K58" s="100">
        <f t="shared" si="23"/>
        <v>6.5670447761194033E-3</v>
      </c>
      <c r="L58" s="100">
        <f t="shared" si="23"/>
        <v>6.5670447761194033E-3</v>
      </c>
      <c r="M58" s="100">
        <f t="shared" si="23"/>
        <v>6.5670447761194033E-3</v>
      </c>
      <c r="N58" s="100">
        <f t="shared" si="23"/>
        <v>6.5670447761194033E-3</v>
      </c>
      <c r="O58" s="100">
        <f t="shared" si="24"/>
        <v>6.5670447761194033E-3</v>
      </c>
      <c r="P58" s="100">
        <f t="shared" si="24"/>
        <v>6.5670447761194033E-3</v>
      </c>
      <c r="Q58" s="100">
        <f t="shared" si="24"/>
        <v>6.5670447761194033E-3</v>
      </c>
      <c r="R58" s="100">
        <f t="shared" si="24"/>
        <v>6.5670447761194033E-3</v>
      </c>
      <c r="S58" s="100">
        <f t="shared" si="24"/>
        <v>6.5670447761194033E-3</v>
      </c>
      <c r="T58" s="100">
        <f t="shared" si="24"/>
        <v>6.5670447761194033E-3</v>
      </c>
      <c r="U58" s="100">
        <f t="shared" si="24"/>
        <v>6.5670447761194033E-3</v>
      </c>
      <c r="V58" s="100">
        <f t="shared" si="24"/>
        <v>6.5670447761194033E-3</v>
      </c>
      <c r="W58" s="100">
        <f t="shared" si="24"/>
        <v>6.5670447761194033E-3</v>
      </c>
      <c r="X58" s="100">
        <f t="shared" si="24"/>
        <v>6.5670447761194033E-3</v>
      </c>
      <c r="Y58" s="100">
        <f t="shared" si="24"/>
        <v>6.5670447761194033E-3</v>
      </c>
      <c r="Z58" s="100">
        <f t="shared" si="24"/>
        <v>6.5670447761194033E-3</v>
      </c>
      <c r="AA58" s="100">
        <f t="shared" si="24"/>
        <v>6.5670447761194033E-3</v>
      </c>
      <c r="AB58" s="100">
        <f t="shared" si="24"/>
        <v>6.5670447761194033E-3</v>
      </c>
      <c r="AC58" s="100">
        <f t="shared" si="24"/>
        <v>6.5670447761194033E-3</v>
      </c>
      <c r="AD58" s="100">
        <f t="shared" si="24"/>
        <v>6.5670447761194033E-3</v>
      </c>
      <c r="AE58" s="100">
        <f t="shared" si="24"/>
        <v>6.5670447761194033E-3</v>
      </c>
      <c r="AF58" s="100">
        <f t="shared" si="24"/>
        <v>6.5670447761194033E-3</v>
      </c>
      <c r="AG58" s="100">
        <f t="shared" si="24"/>
        <v>6.5670447761194033E-3</v>
      </c>
    </row>
    <row r="59" spans="2:33" ht="13.5" customHeight="1" x14ac:dyDescent="0.25">
      <c r="B59" s="291"/>
      <c r="C59" s="55" t="str">
        <f>+'Dati di Supporto'!C30</f>
        <v>V14</v>
      </c>
      <c r="D59" s="51" t="str">
        <f>+'Dati di Supporto'!D30</f>
        <v>Costo marginale delle emissioni inquinanti (moto)</v>
      </c>
      <c r="E59" s="51" t="s">
        <v>616</v>
      </c>
      <c r="F59" s="38">
        <f>+'Dati di Supporto'!$Q30</f>
        <v>2.6683654137313441E-3</v>
      </c>
      <c r="G59" s="100">
        <f t="shared" si="23"/>
        <v>2.6683654137313441E-3</v>
      </c>
      <c r="H59" s="100">
        <f t="shared" si="23"/>
        <v>2.6683654137313441E-3</v>
      </c>
      <c r="I59" s="100">
        <f t="shared" si="23"/>
        <v>2.6683654137313441E-3</v>
      </c>
      <c r="J59" s="100">
        <f t="shared" si="23"/>
        <v>2.6683654137313441E-3</v>
      </c>
      <c r="K59" s="100">
        <f t="shared" si="23"/>
        <v>2.6683654137313441E-3</v>
      </c>
      <c r="L59" s="100">
        <f t="shared" si="23"/>
        <v>2.6683654137313441E-3</v>
      </c>
      <c r="M59" s="100">
        <f t="shared" si="23"/>
        <v>2.6683654137313441E-3</v>
      </c>
      <c r="N59" s="100">
        <f t="shared" si="23"/>
        <v>2.6683654137313441E-3</v>
      </c>
      <c r="O59" s="100">
        <f t="shared" si="24"/>
        <v>2.6683654137313441E-3</v>
      </c>
      <c r="P59" s="100">
        <f t="shared" si="24"/>
        <v>2.6683654137313441E-3</v>
      </c>
      <c r="Q59" s="100">
        <f t="shared" si="24"/>
        <v>2.6683654137313441E-3</v>
      </c>
      <c r="R59" s="100">
        <f t="shared" si="24"/>
        <v>2.6683654137313441E-3</v>
      </c>
      <c r="S59" s="100">
        <f t="shared" si="24"/>
        <v>2.6683654137313441E-3</v>
      </c>
      <c r="T59" s="100">
        <f t="shared" si="24"/>
        <v>2.6683654137313441E-3</v>
      </c>
      <c r="U59" s="100">
        <f t="shared" si="24"/>
        <v>2.6683654137313441E-3</v>
      </c>
      <c r="V59" s="100">
        <f t="shared" si="24"/>
        <v>2.6683654137313441E-3</v>
      </c>
      <c r="W59" s="100">
        <f t="shared" si="24"/>
        <v>2.6683654137313441E-3</v>
      </c>
      <c r="X59" s="100">
        <f t="shared" si="24"/>
        <v>2.6683654137313441E-3</v>
      </c>
      <c r="Y59" s="100">
        <f t="shared" si="24"/>
        <v>2.6683654137313441E-3</v>
      </c>
      <c r="Z59" s="100">
        <f t="shared" si="24"/>
        <v>2.6683654137313441E-3</v>
      </c>
      <c r="AA59" s="100">
        <f t="shared" si="24"/>
        <v>2.6683654137313441E-3</v>
      </c>
      <c r="AB59" s="100">
        <f t="shared" si="24"/>
        <v>2.6683654137313441E-3</v>
      </c>
      <c r="AC59" s="100">
        <f t="shared" si="24"/>
        <v>2.6683654137313441E-3</v>
      </c>
      <c r="AD59" s="100">
        <f t="shared" si="24"/>
        <v>2.6683654137313441E-3</v>
      </c>
      <c r="AE59" s="100">
        <f t="shared" si="24"/>
        <v>2.6683654137313441E-3</v>
      </c>
      <c r="AF59" s="100">
        <f t="shared" si="24"/>
        <v>2.6683654137313441E-3</v>
      </c>
      <c r="AG59" s="100">
        <f t="shared" si="24"/>
        <v>2.6683654137313441E-3</v>
      </c>
    </row>
    <row r="60" spans="2:33" ht="13.5" customHeight="1" x14ac:dyDescent="0.25">
      <c r="B60" s="291"/>
      <c r="C60" s="55" t="str">
        <f>+'Dati di Supporto'!C31</f>
        <v>V15</v>
      </c>
      <c r="D60" s="51" t="str">
        <f>+'Dati di Supporto'!D31</f>
        <v>Costo marginale delle emissioni acustiche (metro)</v>
      </c>
      <c r="E60" s="51" t="s">
        <v>616</v>
      </c>
      <c r="F60" s="68">
        <v>0</v>
      </c>
      <c r="G60" s="100">
        <f t="shared" si="23"/>
        <v>0</v>
      </c>
      <c r="H60" s="100">
        <f t="shared" si="23"/>
        <v>0</v>
      </c>
      <c r="I60" s="100">
        <f t="shared" si="23"/>
        <v>0</v>
      </c>
      <c r="J60" s="100">
        <f t="shared" si="23"/>
        <v>0</v>
      </c>
      <c r="K60" s="100">
        <f t="shared" si="23"/>
        <v>0</v>
      </c>
      <c r="L60" s="100">
        <f t="shared" si="23"/>
        <v>0</v>
      </c>
      <c r="M60" s="100">
        <f t="shared" si="23"/>
        <v>0</v>
      </c>
      <c r="N60" s="100">
        <f t="shared" si="23"/>
        <v>0</v>
      </c>
      <c r="O60" s="100">
        <f t="shared" si="24"/>
        <v>0</v>
      </c>
      <c r="P60" s="100">
        <f t="shared" si="24"/>
        <v>0</v>
      </c>
      <c r="Q60" s="100">
        <f t="shared" si="24"/>
        <v>0</v>
      </c>
      <c r="R60" s="100">
        <f t="shared" si="24"/>
        <v>0</v>
      </c>
      <c r="S60" s="100">
        <f t="shared" si="24"/>
        <v>0</v>
      </c>
      <c r="T60" s="100">
        <f t="shared" si="24"/>
        <v>0</v>
      </c>
      <c r="U60" s="100">
        <f t="shared" si="24"/>
        <v>0</v>
      </c>
      <c r="V60" s="100">
        <f t="shared" si="24"/>
        <v>0</v>
      </c>
      <c r="W60" s="100">
        <f t="shared" si="24"/>
        <v>0</v>
      </c>
      <c r="X60" s="100">
        <f t="shared" si="24"/>
        <v>0</v>
      </c>
      <c r="Y60" s="100">
        <f t="shared" si="24"/>
        <v>0</v>
      </c>
      <c r="Z60" s="100">
        <f t="shared" si="24"/>
        <v>0</v>
      </c>
      <c r="AA60" s="100">
        <f t="shared" si="24"/>
        <v>0</v>
      </c>
      <c r="AB60" s="100">
        <f t="shared" si="24"/>
        <v>0</v>
      </c>
      <c r="AC60" s="100">
        <f t="shared" si="24"/>
        <v>0</v>
      </c>
      <c r="AD60" s="100">
        <f t="shared" si="24"/>
        <v>0</v>
      </c>
      <c r="AE60" s="100">
        <f t="shared" si="24"/>
        <v>0</v>
      </c>
      <c r="AF60" s="100">
        <f t="shared" si="24"/>
        <v>0</v>
      </c>
      <c r="AG60" s="100">
        <f t="shared" si="24"/>
        <v>0</v>
      </c>
    </row>
    <row r="61" spans="2:33" ht="13.5" customHeight="1" x14ac:dyDescent="0.25">
      <c r="B61" s="291"/>
      <c r="C61" s="55" t="str">
        <f>+'Dati di Supporto'!C32</f>
        <v>V16</v>
      </c>
      <c r="D61" s="51" t="str">
        <f>+'Dati di Supporto'!D32</f>
        <v>Costo marginale delle emissioni acustiche (tram)</v>
      </c>
      <c r="E61" s="51" t="s">
        <v>616</v>
      </c>
      <c r="F61" s="68">
        <v>0</v>
      </c>
      <c r="G61" s="100">
        <f t="shared" si="23"/>
        <v>0</v>
      </c>
      <c r="H61" s="100">
        <f t="shared" si="23"/>
        <v>0</v>
      </c>
      <c r="I61" s="100">
        <f t="shared" si="23"/>
        <v>0</v>
      </c>
      <c r="J61" s="100">
        <f t="shared" si="23"/>
        <v>0</v>
      </c>
      <c r="K61" s="100">
        <f t="shared" si="23"/>
        <v>0</v>
      </c>
      <c r="L61" s="100">
        <f t="shared" si="23"/>
        <v>0</v>
      </c>
      <c r="M61" s="100">
        <f t="shared" si="23"/>
        <v>0</v>
      </c>
      <c r="N61" s="100">
        <f t="shared" si="23"/>
        <v>0</v>
      </c>
      <c r="O61" s="100">
        <f t="shared" si="24"/>
        <v>0</v>
      </c>
      <c r="P61" s="100">
        <f t="shared" si="24"/>
        <v>0</v>
      </c>
      <c r="Q61" s="100">
        <f t="shared" si="24"/>
        <v>0</v>
      </c>
      <c r="R61" s="100">
        <f t="shared" si="24"/>
        <v>0</v>
      </c>
      <c r="S61" s="100">
        <f t="shared" si="24"/>
        <v>0</v>
      </c>
      <c r="T61" s="100">
        <f t="shared" si="24"/>
        <v>0</v>
      </c>
      <c r="U61" s="100">
        <f t="shared" si="24"/>
        <v>0</v>
      </c>
      <c r="V61" s="100">
        <f t="shared" si="24"/>
        <v>0</v>
      </c>
      <c r="W61" s="100">
        <f t="shared" si="24"/>
        <v>0</v>
      </c>
      <c r="X61" s="100">
        <f t="shared" si="24"/>
        <v>0</v>
      </c>
      <c r="Y61" s="100">
        <f t="shared" si="24"/>
        <v>0</v>
      </c>
      <c r="Z61" s="100">
        <f t="shared" si="24"/>
        <v>0</v>
      </c>
      <c r="AA61" s="100">
        <f t="shared" si="24"/>
        <v>0</v>
      </c>
      <c r="AB61" s="100">
        <f t="shared" si="24"/>
        <v>0</v>
      </c>
      <c r="AC61" s="100">
        <f t="shared" si="24"/>
        <v>0</v>
      </c>
      <c r="AD61" s="100">
        <f t="shared" si="24"/>
        <v>0</v>
      </c>
      <c r="AE61" s="100">
        <f t="shared" si="24"/>
        <v>0</v>
      </c>
      <c r="AF61" s="100">
        <f t="shared" si="24"/>
        <v>0</v>
      </c>
      <c r="AG61" s="100">
        <f t="shared" si="24"/>
        <v>0</v>
      </c>
    </row>
    <row r="62" spans="2:33" ht="13.5" customHeight="1" x14ac:dyDescent="0.25">
      <c r="B62" s="291"/>
      <c r="C62" s="55" t="str">
        <f>+'Dati di Supporto'!C33</f>
        <v>V17</v>
      </c>
      <c r="D62" s="51" t="str">
        <f>+'Dati di Supporto'!D33</f>
        <v>Costo marginale delle emissioni acustiche (filobus)</v>
      </c>
      <c r="E62" s="51" t="s">
        <v>616</v>
      </c>
      <c r="F62" s="68">
        <v>0</v>
      </c>
      <c r="G62" s="100">
        <f t="shared" ref="G62:AG67" si="25">+$F62</f>
        <v>0</v>
      </c>
      <c r="H62" s="100">
        <f t="shared" si="25"/>
        <v>0</v>
      </c>
      <c r="I62" s="100">
        <f t="shared" si="25"/>
        <v>0</v>
      </c>
      <c r="J62" s="100">
        <f t="shared" si="25"/>
        <v>0</v>
      </c>
      <c r="K62" s="100">
        <f t="shared" si="25"/>
        <v>0</v>
      </c>
      <c r="L62" s="100">
        <f t="shared" si="25"/>
        <v>0</v>
      </c>
      <c r="M62" s="100">
        <f t="shared" si="25"/>
        <v>0</v>
      </c>
      <c r="N62" s="100">
        <f t="shared" si="25"/>
        <v>0</v>
      </c>
      <c r="O62" s="100">
        <f t="shared" si="25"/>
        <v>0</v>
      </c>
      <c r="P62" s="100">
        <f t="shared" si="25"/>
        <v>0</v>
      </c>
      <c r="Q62" s="100">
        <f t="shared" si="25"/>
        <v>0</v>
      </c>
      <c r="R62" s="100">
        <f t="shared" si="25"/>
        <v>0</v>
      </c>
      <c r="S62" s="100">
        <f t="shared" si="25"/>
        <v>0</v>
      </c>
      <c r="T62" s="100">
        <f t="shared" si="25"/>
        <v>0</v>
      </c>
      <c r="U62" s="100">
        <f t="shared" si="25"/>
        <v>0</v>
      </c>
      <c r="V62" s="100">
        <f t="shared" si="25"/>
        <v>0</v>
      </c>
      <c r="W62" s="100">
        <f t="shared" si="25"/>
        <v>0</v>
      </c>
      <c r="X62" s="100">
        <f t="shared" si="25"/>
        <v>0</v>
      </c>
      <c r="Y62" s="100">
        <f t="shared" si="25"/>
        <v>0</v>
      </c>
      <c r="Z62" s="100">
        <f t="shared" si="25"/>
        <v>0</v>
      </c>
      <c r="AA62" s="100">
        <f t="shared" si="25"/>
        <v>0</v>
      </c>
      <c r="AB62" s="100">
        <f t="shared" si="25"/>
        <v>0</v>
      </c>
      <c r="AC62" s="100">
        <f t="shared" si="25"/>
        <v>0</v>
      </c>
      <c r="AD62" s="100">
        <f t="shared" si="25"/>
        <v>0</v>
      </c>
      <c r="AE62" s="100">
        <f t="shared" si="25"/>
        <v>0</v>
      </c>
      <c r="AF62" s="100">
        <f t="shared" si="25"/>
        <v>0</v>
      </c>
      <c r="AG62" s="100">
        <f t="shared" si="25"/>
        <v>0</v>
      </c>
    </row>
    <row r="63" spans="2:33" ht="13.5" customHeight="1" x14ac:dyDescent="0.25">
      <c r="B63" s="291"/>
      <c r="C63" s="55" t="str">
        <f>+'Dati di Supporto'!C34</f>
        <v>V18</v>
      </c>
      <c r="D63" s="51" t="str">
        <f>+'Dati di Supporto'!D34</f>
        <v>Costo marginale delle emissioni acustiche (altro TPL)</v>
      </c>
      <c r="E63" s="51" t="s">
        <v>616</v>
      </c>
      <c r="F63" s="68">
        <v>0</v>
      </c>
      <c r="G63" s="100">
        <f t="shared" si="25"/>
        <v>0</v>
      </c>
      <c r="H63" s="100">
        <f t="shared" si="25"/>
        <v>0</v>
      </c>
      <c r="I63" s="100">
        <f t="shared" si="25"/>
        <v>0</v>
      </c>
      <c r="J63" s="100">
        <f t="shared" si="25"/>
        <v>0</v>
      </c>
      <c r="K63" s="100">
        <f t="shared" si="25"/>
        <v>0</v>
      </c>
      <c r="L63" s="100">
        <f t="shared" si="25"/>
        <v>0</v>
      </c>
      <c r="M63" s="100">
        <f t="shared" si="25"/>
        <v>0</v>
      </c>
      <c r="N63" s="100">
        <f t="shared" si="25"/>
        <v>0</v>
      </c>
      <c r="O63" s="100">
        <f t="shared" si="25"/>
        <v>0</v>
      </c>
      <c r="P63" s="100">
        <f t="shared" si="25"/>
        <v>0</v>
      </c>
      <c r="Q63" s="100">
        <f t="shared" si="25"/>
        <v>0</v>
      </c>
      <c r="R63" s="100">
        <f t="shared" si="25"/>
        <v>0</v>
      </c>
      <c r="S63" s="100">
        <f t="shared" si="25"/>
        <v>0</v>
      </c>
      <c r="T63" s="100">
        <f t="shared" si="25"/>
        <v>0</v>
      </c>
      <c r="U63" s="100">
        <f t="shared" si="25"/>
        <v>0</v>
      </c>
      <c r="V63" s="100">
        <f t="shared" si="25"/>
        <v>0</v>
      </c>
      <c r="W63" s="100">
        <f t="shared" si="25"/>
        <v>0</v>
      </c>
      <c r="X63" s="100">
        <f t="shared" si="25"/>
        <v>0</v>
      </c>
      <c r="Y63" s="100">
        <f t="shared" si="25"/>
        <v>0</v>
      </c>
      <c r="Z63" s="100">
        <f t="shared" si="25"/>
        <v>0</v>
      </c>
      <c r="AA63" s="100">
        <f t="shared" si="25"/>
        <v>0</v>
      </c>
      <c r="AB63" s="100">
        <f t="shared" si="25"/>
        <v>0</v>
      </c>
      <c r="AC63" s="100">
        <f t="shared" si="25"/>
        <v>0</v>
      </c>
      <c r="AD63" s="100">
        <f t="shared" si="25"/>
        <v>0</v>
      </c>
      <c r="AE63" s="100">
        <f t="shared" si="25"/>
        <v>0</v>
      </c>
      <c r="AF63" s="100">
        <f t="shared" si="25"/>
        <v>0</v>
      </c>
      <c r="AG63" s="100">
        <f t="shared" si="25"/>
        <v>0</v>
      </c>
    </row>
    <row r="64" spans="2:33" ht="13.5" customHeight="1" x14ac:dyDescent="0.25">
      <c r="B64" s="291"/>
      <c r="C64" s="55" t="str">
        <f>+'Dati di Supporto'!C35</f>
        <v>V19</v>
      </c>
      <c r="D64" s="51" t="str">
        <f>+'Dati di Supporto'!D35</f>
        <v>Costo marginale delle emissioni acustiche (autobus)</v>
      </c>
      <c r="E64" s="51" t="s">
        <v>616</v>
      </c>
      <c r="F64" s="38">
        <f>+'Dati di Supporto'!$Q35</f>
        <v>4.8158328358208949E-2</v>
      </c>
      <c r="G64" s="100">
        <f t="shared" si="25"/>
        <v>4.8158328358208949E-2</v>
      </c>
      <c r="H64" s="100">
        <f t="shared" si="25"/>
        <v>4.8158328358208949E-2</v>
      </c>
      <c r="I64" s="100">
        <f t="shared" si="25"/>
        <v>4.8158328358208949E-2</v>
      </c>
      <c r="J64" s="100">
        <f t="shared" si="25"/>
        <v>4.8158328358208949E-2</v>
      </c>
      <c r="K64" s="100">
        <f t="shared" si="25"/>
        <v>4.8158328358208949E-2</v>
      </c>
      <c r="L64" s="100">
        <f t="shared" si="25"/>
        <v>4.8158328358208949E-2</v>
      </c>
      <c r="M64" s="100">
        <f t="shared" si="25"/>
        <v>4.8158328358208949E-2</v>
      </c>
      <c r="N64" s="100">
        <f t="shared" si="25"/>
        <v>4.8158328358208949E-2</v>
      </c>
      <c r="O64" s="100">
        <f t="shared" si="25"/>
        <v>4.8158328358208949E-2</v>
      </c>
      <c r="P64" s="100">
        <f t="shared" si="25"/>
        <v>4.8158328358208949E-2</v>
      </c>
      <c r="Q64" s="100">
        <f t="shared" si="25"/>
        <v>4.8158328358208949E-2</v>
      </c>
      <c r="R64" s="100">
        <f t="shared" si="25"/>
        <v>4.8158328358208949E-2</v>
      </c>
      <c r="S64" s="100">
        <f t="shared" si="25"/>
        <v>4.8158328358208949E-2</v>
      </c>
      <c r="T64" s="100">
        <f t="shared" si="25"/>
        <v>4.8158328358208949E-2</v>
      </c>
      <c r="U64" s="100">
        <f t="shared" si="25"/>
        <v>4.8158328358208949E-2</v>
      </c>
      <c r="V64" s="100">
        <f t="shared" si="25"/>
        <v>4.8158328358208949E-2</v>
      </c>
      <c r="W64" s="100">
        <f t="shared" si="25"/>
        <v>4.8158328358208949E-2</v>
      </c>
      <c r="X64" s="100">
        <f t="shared" si="25"/>
        <v>4.8158328358208949E-2</v>
      </c>
      <c r="Y64" s="100">
        <f t="shared" si="25"/>
        <v>4.8158328358208949E-2</v>
      </c>
      <c r="Z64" s="100">
        <f t="shared" si="25"/>
        <v>4.8158328358208949E-2</v>
      </c>
      <c r="AA64" s="100">
        <f t="shared" si="25"/>
        <v>4.8158328358208949E-2</v>
      </c>
      <c r="AB64" s="100">
        <f t="shared" si="25"/>
        <v>4.8158328358208949E-2</v>
      </c>
      <c r="AC64" s="100">
        <f t="shared" si="25"/>
        <v>4.8158328358208949E-2</v>
      </c>
      <c r="AD64" s="100">
        <f t="shared" si="25"/>
        <v>4.8158328358208949E-2</v>
      </c>
      <c r="AE64" s="100">
        <f t="shared" si="25"/>
        <v>4.8158328358208949E-2</v>
      </c>
      <c r="AF64" s="100">
        <f t="shared" si="25"/>
        <v>4.8158328358208949E-2</v>
      </c>
      <c r="AG64" s="100">
        <f t="shared" si="25"/>
        <v>4.8158328358208949E-2</v>
      </c>
    </row>
    <row r="65" spans="2:33" ht="13.5" customHeight="1" x14ac:dyDescent="0.25">
      <c r="B65" s="291"/>
      <c r="C65" s="55" t="str">
        <f>+'Dati di Supporto'!C36</f>
        <v>V20</v>
      </c>
      <c r="D65" s="51" t="str">
        <f>+'Dati di Supporto'!D36</f>
        <v>Costo marginale delle emissioni acustiche (auto)</v>
      </c>
      <c r="E65" s="51" t="s">
        <v>616</v>
      </c>
      <c r="F65" s="38">
        <f>+'Dati di Supporto'!$Q36</f>
        <v>9.6316656716417919E-3</v>
      </c>
      <c r="G65" s="100">
        <f t="shared" si="25"/>
        <v>9.6316656716417919E-3</v>
      </c>
      <c r="H65" s="100">
        <f t="shared" si="25"/>
        <v>9.6316656716417919E-3</v>
      </c>
      <c r="I65" s="100">
        <f t="shared" si="25"/>
        <v>9.6316656716417919E-3</v>
      </c>
      <c r="J65" s="100">
        <f t="shared" si="25"/>
        <v>9.6316656716417919E-3</v>
      </c>
      <c r="K65" s="100">
        <f t="shared" si="25"/>
        <v>9.6316656716417919E-3</v>
      </c>
      <c r="L65" s="100">
        <f t="shared" si="25"/>
        <v>9.6316656716417919E-3</v>
      </c>
      <c r="M65" s="100">
        <f t="shared" si="25"/>
        <v>9.6316656716417919E-3</v>
      </c>
      <c r="N65" s="100">
        <f t="shared" si="25"/>
        <v>9.6316656716417919E-3</v>
      </c>
      <c r="O65" s="100">
        <f t="shared" si="25"/>
        <v>9.6316656716417919E-3</v>
      </c>
      <c r="P65" s="100">
        <f t="shared" si="25"/>
        <v>9.6316656716417919E-3</v>
      </c>
      <c r="Q65" s="100">
        <f t="shared" si="25"/>
        <v>9.6316656716417919E-3</v>
      </c>
      <c r="R65" s="100">
        <f t="shared" si="25"/>
        <v>9.6316656716417919E-3</v>
      </c>
      <c r="S65" s="100">
        <f t="shared" si="25"/>
        <v>9.6316656716417919E-3</v>
      </c>
      <c r="T65" s="100">
        <f t="shared" si="25"/>
        <v>9.6316656716417919E-3</v>
      </c>
      <c r="U65" s="100">
        <f t="shared" si="25"/>
        <v>9.6316656716417919E-3</v>
      </c>
      <c r="V65" s="100">
        <f t="shared" si="25"/>
        <v>9.6316656716417919E-3</v>
      </c>
      <c r="W65" s="100">
        <f t="shared" si="25"/>
        <v>9.6316656716417919E-3</v>
      </c>
      <c r="X65" s="100">
        <f t="shared" si="25"/>
        <v>9.6316656716417919E-3</v>
      </c>
      <c r="Y65" s="100">
        <f t="shared" si="25"/>
        <v>9.6316656716417919E-3</v>
      </c>
      <c r="Z65" s="100">
        <f t="shared" si="25"/>
        <v>9.6316656716417919E-3</v>
      </c>
      <c r="AA65" s="100">
        <f t="shared" si="25"/>
        <v>9.6316656716417919E-3</v>
      </c>
      <c r="AB65" s="100">
        <f t="shared" si="25"/>
        <v>9.6316656716417919E-3</v>
      </c>
      <c r="AC65" s="100">
        <f t="shared" si="25"/>
        <v>9.6316656716417919E-3</v>
      </c>
      <c r="AD65" s="100">
        <f t="shared" si="25"/>
        <v>9.6316656716417919E-3</v>
      </c>
      <c r="AE65" s="100">
        <f t="shared" si="25"/>
        <v>9.6316656716417919E-3</v>
      </c>
      <c r="AF65" s="100">
        <f t="shared" si="25"/>
        <v>9.6316656716417919E-3</v>
      </c>
      <c r="AG65" s="100">
        <f t="shared" si="25"/>
        <v>9.6316656716417919E-3</v>
      </c>
    </row>
    <row r="66" spans="2:33" ht="13.5" customHeight="1" x14ac:dyDescent="0.25">
      <c r="B66" s="291"/>
      <c r="C66" s="55" t="str">
        <f>+'Dati di Supporto'!C37</f>
        <v>V21</v>
      </c>
      <c r="D66" s="51" t="str">
        <f>+'Dati di Supporto'!D37</f>
        <v>Costo marginale delle emissioni acustiche (moto)</v>
      </c>
      <c r="E66" s="51" t="s">
        <v>616</v>
      </c>
      <c r="F66" s="38">
        <f>+'Dati di Supporto'!$Q37</f>
        <v>1.9372782089552249E-2</v>
      </c>
      <c r="G66" s="100">
        <f t="shared" si="25"/>
        <v>1.9372782089552249E-2</v>
      </c>
      <c r="H66" s="100">
        <f t="shared" si="25"/>
        <v>1.9372782089552249E-2</v>
      </c>
      <c r="I66" s="100">
        <f t="shared" si="25"/>
        <v>1.9372782089552249E-2</v>
      </c>
      <c r="J66" s="100">
        <f t="shared" si="25"/>
        <v>1.9372782089552249E-2</v>
      </c>
      <c r="K66" s="100">
        <f t="shared" si="25"/>
        <v>1.9372782089552249E-2</v>
      </c>
      <c r="L66" s="100">
        <f t="shared" si="25"/>
        <v>1.9372782089552249E-2</v>
      </c>
      <c r="M66" s="100">
        <f t="shared" si="25"/>
        <v>1.9372782089552249E-2</v>
      </c>
      <c r="N66" s="100">
        <f t="shared" si="25"/>
        <v>1.9372782089552249E-2</v>
      </c>
      <c r="O66" s="100">
        <f t="shared" si="25"/>
        <v>1.9372782089552249E-2</v>
      </c>
      <c r="P66" s="100">
        <f t="shared" si="25"/>
        <v>1.9372782089552249E-2</v>
      </c>
      <c r="Q66" s="100">
        <f t="shared" si="25"/>
        <v>1.9372782089552249E-2</v>
      </c>
      <c r="R66" s="100">
        <f t="shared" si="25"/>
        <v>1.9372782089552249E-2</v>
      </c>
      <c r="S66" s="100">
        <f t="shared" si="25"/>
        <v>1.9372782089552249E-2</v>
      </c>
      <c r="T66" s="100">
        <f t="shared" si="25"/>
        <v>1.9372782089552249E-2</v>
      </c>
      <c r="U66" s="100">
        <f t="shared" si="25"/>
        <v>1.9372782089552249E-2</v>
      </c>
      <c r="V66" s="100">
        <f t="shared" si="25"/>
        <v>1.9372782089552249E-2</v>
      </c>
      <c r="W66" s="100">
        <f t="shared" si="25"/>
        <v>1.9372782089552249E-2</v>
      </c>
      <c r="X66" s="100">
        <f t="shared" si="25"/>
        <v>1.9372782089552249E-2</v>
      </c>
      <c r="Y66" s="100">
        <f t="shared" si="25"/>
        <v>1.9372782089552249E-2</v>
      </c>
      <c r="Z66" s="100">
        <f t="shared" si="25"/>
        <v>1.9372782089552249E-2</v>
      </c>
      <c r="AA66" s="100">
        <f t="shared" si="25"/>
        <v>1.9372782089552249E-2</v>
      </c>
      <c r="AB66" s="100">
        <f t="shared" si="25"/>
        <v>1.9372782089552249E-2</v>
      </c>
      <c r="AC66" s="100">
        <f t="shared" si="25"/>
        <v>1.9372782089552249E-2</v>
      </c>
      <c r="AD66" s="100">
        <f t="shared" si="25"/>
        <v>1.9372782089552249E-2</v>
      </c>
      <c r="AE66" s="100">
        <f t="shared" si="25"/>
        <v>1.9372782089552249E-2</v>
      </c>
      <c r="AF66" s="100">
        <f t="shared" si="25"/>
        <v>1.9372782089552249E-2</v>
      </c>
      <c r="AG66" s="100">
        <f t="shared" si="25"/>
        <v>1.9372782089552249E-2</v>
      </c>
    </row>
    <row r="67" spans="2:33" ht="13.5" customHeight="1" x14ac:dyDescent="0.25">
      <c r="B67" s="291"/>
      <c r="C67" s="55" t="str">
        <f>+'Dati di Supporto'!C38</f>
        <v>V22</v>
      </c>
      <c r="D67" s="51" t="str">
        <f>+'Dati di Supporto'!D38</f>
        <v>Valore dell'anidride carbonica</v>
      </c>
      <c r="E67" s="51" t="s">
        <v>617</v>
      </c>
      <c r="F67" s="38">
        <f>+'Dati di Supporto'!$Q38</f>
        <v>98.505671641791054</v>
      </c>
      <c r="G67" s="100">
        <f t="shared" si="25"/>
        <v>98.505671641791054</v>
      </c>
      <c r="H67" s="100">
        <f t="shared" si="25"/>
        <v>98.505671641791054</v>
      </c>
      <c r="I67" s="100">
        <f t="shared" si="25"/>
        <v>98.505671641791054</v>
      </c>
      <c r="J67" s="100">
        <f t="shared" si="25"/>
        <v>98.505671641791054</v>
      </c>
      <c r="K67" s="100">
        <f t="shared" si="25"/>
        <v>98.505671641791054</v>
      </c>
      <c r="L67" s="100">
        <f t="shared" si="25"/>
        <v>98.505671641791054</v>
      </c>
      <c r="M67" s="100">
        <f t="shared" si="25"/>
        <v>98.505671641791054</v>
      </c>
      <c r="N67" s="100">
        <f t="shared" si="25"/>
        <v>98.505671641791054</v>
      </c>
      <c r="O67" s="100">
        <f t="shared" si="25"/>
        <v>98.505671641791054</v>
      </c>
      <c r="P67" s="100">
        <f t="shared" si="25"/>
        <v>98.505671641791054</v>
      </c>
      <c r="Q67" s="100">
        <f t="shared" si="25"/>
        <v>98.505671641791054</v>
      </c>
      <c r="R67" s="100">
        <f t="shared" si="25"/>
        <v>98.505671641791054</v>
      </c>
      <c r="S67" s="100">
        <f t="shared" si="25"/>
        <v>98.505671641791054</v>
      </c>
      <c r="T67" s="100">
        <f t="shared" si="25"/>
        <v>98.505671641791054</v>
      </c>
      <c r="U67" s="100">
        <f t="shared" si="25"/>
        <v>98.505671641791054</v>
      </c>
      <c r="V67" s="100">
        <f t="shared" si="25"/>
        <v>98.505671641791054</v>
      </c>
      <c r="W67" s="100">
        <f t="shared" si="25"/>
        <v>98.505671641791054</v>
      </c>
      <c r="X67" s="100">
        <f t="shared" si="25"/>
        <v>98.505671641791054</v>
      </c>
      <c r="Y67" s="100">
        <f t="shared" si="25"/>
        <v>98.505671641791054</v>
      </c>
      <c r="Z67" s="100">
        <f t="shared" si="25"/>
        <v>98.505671641791054</v>
      </c>
      <c r="AA67" s="100">
        <f t="shared" si="25"/>
        <v>98.505671641791054</v>
      </c>
      <c r="AB67" s="100">
        <f t="shared" si="25"/>
        <v>98.505671641791054</v>
      </c>
      <c r="AC67" s="100">
        <f t="shared" si="25"/>
        <v>98.505671641791054</v>
      </c>
      <c r="AD67" s="100">
        <f t="shared" si="25"/>
        <v>98.505671641791054</v>
      </c>
      <c r="AE67" s="100">
        <f t="shared" si="25"/>
        <v>98.505671641791054</v>
      </c>
      <c r="AF67" s="100">
        <f t="shared" si="25"/>
        <v>98.505671641791054</v>
      </c>
      <c r="AG67" s="100">
        <f t="shared" si="25"/>
        <v>98.505671641791054</v>
      </c>
    </row>
    <row r="68" spans="2:33" ht="4.5" customHeight="1" x14ac:dyDescent="0.25">
      <c r="B68" s="5"/>
      <c r="C68" s="5"/>
      <c r="N68" s="5"/>
      <c r="O68" s="5"/>
      <c r="P68" s="5"/>
      <c r="Q68" s="5"/>
      <c r="R68" s="5"/>
      <c r="S68" s="5"/>
      <c r="T68" s="5"/>
      <c r="U68" s="5"/>
      <c r="V68" s="5"/>
      <c r="W68" s="5"/>
      <c r="X68" s="5"/>
      <c r="Y68" s="5"/>
      <c r="Z68" s="5"/>
      <c r="AA68" s="5"/>
      <c r="AB68" s="5"/>
    </row>
    <row r="69" spans="2:33" ht="13.5" customHeight="1" x14ac:dyDescent="0.25">
      <c r="B69" s="291" t="s">
        <v>345</v>
      </c>
      <c r="C69" s="63" t="s">
        <v>179</v>
      </c>
      <c r="D69" s="50" t="s">
        <v>346</v>
      </c>
      <c r="E69" s="51" t="s">
        <v>613</v>
      </c>
      <c r="F69" s="101">
        <f t="shared" ref="F69:F78" si="26">+NPV(3%,G69:AG69)</f>
        <v>351768.17620499793</v>
      </c>
      <c r="G69" s="40">
        <v>0</v>
      </c>
      <c r="H69" s="40">
        <v>0</v>
      </c>
      <c r="I69" s="40">
        <v>0</v>
      </c>
      <c r="J69" s="40">
        <v>0</v>
      </c>
      <c r="K69" s="40">
        <v>0</v>
      </c>
      <c r="L69" s="40">
        <v>0</v>
      </c>
      <c r="M69" s="40">
        <v>0</v>
      </c>
      <c r="N69" s="102">
        <f t="shared" ref="N69:N71" si="27">-N8*N14/60*N$45</f>
        <v>29079.564284973818</v>
      </c>
      <c r="O69" s="102">
        <f t="shared" ref="O69:AG69" si="28">-O8*O14/60*O$45</f>
        <v>29079.564284973818</v>
      </c>
      <c r="P69" s="102">
        <f t="shared" si="28"/>
        <v>29079.564284973818</v>
      </c>
      <c r="Q69" s="102">
        <f t="shared" si="28"/>
        <v>29079.564284973818</v>
      </c>
      <c r="R69" s="102">
        <f t="shared" si="28"/>
        <v>29079.564284973818</v>
      </c>
      <c r="S69" s="102">
        <f t="shared" si="28"/>
        <v>29079.564284973818</v>
      </c>
      <c r="T69" s="102">
        <f t="shared" si="28"/>
        <v>29079.564284973818</v>
      </c>
      <c r="U69" s="102">
        <f t="shared" si="28"/>
        <v>29079.564284973818</v>
      </c>
      <c r="V69" s="102">
        <f t="shared" si="28"/>
        <v>29079.564284973818</v>
      </c>
      <c r="W69" s="102">
        <f t="shared" si="28"/>
        <v>29079.564284973818</v>
      </c>
      <c r="X69" s="102">
        <f t="shared" si="28"/>
        <v>29079.564284973818</v>
      </c>
      <c r="Y69" s="102">
        <f t="shared" si="28"/>
        <v>29079.564284973818</v>
      </c>
      <c r="Z69" s="102">
        <f t="shared" si="28"/>
        <v>29079.564284973818</v>
      </c>
      <c r="AA69" s="102">
        <f t="shared" si="28"/>
        <v>29079.564284973818</v>
      </c>
      <c r="AB69" s="102">
        <f t="shared" si="28"/>
        <v>29079.564284973818</v>
      </c>
      <c r="AC69" s="102">
        <f t="shared" si="28"/>
        <v>29079.564284973818</v>
      </c>
      <c r="AD69" s="102">
        <f t="shared" si="28"/>
        <v>29079.564284973818</v>
      </c>
      <c r="AE69" s="102">
        <f t="shared" si="28"/>
        <v>29079.564284973818</v>
      </c>
      <c r="AF69" s="102">
        <f t="shared" si="28"/>
        <v>29079.564284973818</v>
      </c>
      <c r="AG69" s="102">
        <f t="shared" si="28"/>
        <v>29079.564284973818</v>
      </c>
    </row>
    <row r="70" spans="2:33" ht="13.5" customHeight="1" x14ac:dyDescent="0.25">
      <c r="B70" s="291"/>
      <c r="C70" s="63" t="s">
        <v>180</v>
      </c>
      <c r="D70" s="50" t="s">
        <v>347</v>
      </c>
      <c r="E70" s="51" t="s">
        <v>613</v>
      </c>
      <c r="F70" s="101">
        <f t="shared" si="26"/>
        <v>14223687.576819727</v>
      </c>
      <c r="G70" s="40">
        <v>0</v>
      </c>
      <c r="H70" s="40">
        <v>0</v>
      </c>
      <c r="I70" s="40">
        <v>0</v>
      </c>
      <c r="J70" s="40">
        <v>0</v>
      </c>
      <c r="K70" s="40">
        <v>0</v>
      </c>
      <c r="L70" s="40">
        <v>0</v>
      </c>
      <c r="M70" s="40">
        <v>0</v>
      </c>
      <c r="N70" s="102">
        <f t="shared" si="27"/>
        <v>1175827.3352688691</v>
      </c>
      <c r="O70" s="102">
        <f t="shared" ref="O70:AG70" si="29">-O9*O15/60*O$45</f>
        <v>1175827.3352688691</v>
      </c>
      <c r="P70" s="102">
        <f t="shared" si="29"/>
        <v>1175827.3352688691</v>
      </c>
      <c r="Q70" s="102">
        <f t="shared" si="29"/>
        <v>1175827.3352688691</v>
      </c>
      <c r="R70" s="102">
        <f t="shared" si="29"/>
        <v>1175827.3352688691</v>
      </c>
      <c r="S70" s="102">
        <f t="shared" si="29"/>
        <v>1175827.3352688691</v>
      </c>
      <c r="T70" s="102">
        <f t="shared" si="29"/>
        <v>1175827.3352688691</v>
      </c>
      <c r="U70" s="102">
        <f t="shared" si="29"/>
        <v>1175827.3352688691</v>
      </c>
      <c r="V70" s="102">
        <f t="shared" si="29"/>
        <v>1175827.3352688691</v>
      </c>
      <c r="W70" s="102">
        <f t="shared" si="29"/>
        <v>1175827.3352688691</v>
      </c>
      <c r="X70" s="102">
        <f t="shared" si="29"/>
        <v>1175827.3352688691</v>
      </c>
      <c r="Y70" s="102">
        <f t="shared" si="29"/>
        <v>1175827.3352688691</v>
      </c>
      <c r="Z70" s="102">
        <f t="shared" si="29"/>
        <v>1175827.3352688691</v>
      </c>
      <c r="AA70" s="102">
        <f t="shared" si="29"/>
        <v>1175827.3352688691</v>
      </c>
      <c r="AB70" s="102">
        <f t="shared" si="29"/>
        <v>1175827.3352688691</v>
      </c>
      <c r="AC70" s="102">
        <f t="shared" si="29"/>
        <v>1175827.3352688691</v>
      </c>
      <c r="AD70" s="102">
        <f t="shared" si="29"/>
        <v>1175827.3352688691</v>
      </c>
      <c r="AE70" s="102">
        <f t="shared" si="29"/>
        <v>1175827.3352688691</v>
      </c>
      <c r="AF70" s="102">
        <f t="shared" si="29"/>
        <v>1175827.3352688691</v>
      </c>
      <c r="AG70" s="102">
        <f t="shared" si="29"/>
        <v>1175827.3352688691</v>
      </c>
    </row>
    <row r="71" spans="2:33" ht="13.5" customHeight="1" x14ac:dyDescent="0.25">
      <c r="B71" s="291"/>
      <c r="C71" s="63" t="s">
        <v>181</v>
      </c>
      <c r="D71" s="50" t="s">
        <v>348</v>
      </c>
      <c r="E71" s="51" t="s">
        <v>613</v>
      </c>
      <c r="F71" s="101">
        <f t="shared" si="26"/>
        <v>0</v>
      </c>
      <c r="G71" s="40">
        <v>0</v>
      </c>
      <c r="H71" s="40">
        <v>0</v>
      </c>
      <c r="I71" s="40">
        <v>0</v>
      </c>
      <c r="J71" s="40">
        <v>0</v>
      </c>
      <c r="K71" s="40">
        <v>0</v>
      </c>
      <c r="L71" s="40">
        <v>0</v>
      </c>
      <c r="M71" s="40">
        <v>0</v>
      </c>
      <c r="N71" s="102">
        <f t="shared" si="27"/>
        <v>0</v>
      </c>
      <c r="O71" s="102">
        <f t="shared" ref="O71:AG71" si="30">-O10*O16/60*O$45</f>
        <v>0</v>
      </c>
      <c r="P71" s="102">
        <f t="shared" si="30"/>
        <v>0</v>
      </c>
      <c r="Q71" s="102">
        <f t="shared" si="30"/>
        <v>0</v>
      </c>
      <c r="R71" s="102">
        <f t="shared" si="30"/>
        <v>0</v>
      </c>
      <c r="S71" s="102">
        <f t="shared" si="30"/>
        <v>0</v>
      </c>
      <c r="T71" s="102">
        <f t="shared" si="30"/>
        <v>0</v>
      </c>
      <c r="U71" s="102">
        <f t="shared" si="30"/>
        <v>0</v>
      </c>
      <c r="V71" s="102">
        <f t="shared" si="30"/>
        <v>0</v>
      </c>
      <c r="W71" s="102">
        <f t="shared" si="30"/>
        <v>0</v>
      </c>
      <c r="X71" s="102">
        <f t="shared" si="30"/>
        <v>0</v>
      </c>
      <c r="Y71" s="102">
        <f t="shared" si="30"/>
        <v>0</v>
      </c>
      <c r="Z71" s="102">
        <f t="shared" si="30"/>
        <v>0</v>
      </c>
      <c r="AA71" s="102">
        <f t="shared" si="30"/>
        <v>0</v>
      </c>
      <c r="AB71" s="102">
        <f t="shared" si="30"/>
        <v>0</v>
      </c>
      <c r="AC71" s="102">
        <f t="shared" si="30"/>
        <v>0</v>
      </c>
      <c r="AD71" s="102">
        <f t="shared" si="30"/>
        <v>0</v>
      </c>
      <c r="AE71" s="102">
        <f t="shared" si="30"/>
        <v>0</v>
      </c>
      <c r="AF71" s="102">
        <f t="shared" si="30"/>
        <v>0</v>
      </c>
      <c r="AG71" s="102">
        <f t="shared" si="30"/>
        <v>0</v>
      </c>
    </row>
    <row r="72" spans="2:33" ht="13.5" customHeight="1" x14ac:dyDescent="0.25">
      <c r="B72" s="291"/>
      <c r="C72" s="63" t="s">
        <v>182</v>
      </c>
      <c r="D72" s="50" t="s">
        <v>349</v>
      </c>
      <c r="E72" s="51" t="s">
        <v>613</v>
      </c>
      <c r="F72" s="101">
        <f t="shared" si="26"/>
        <v>14575455.753024722</v>
      </c>
      <c r="G72" s="40">
        <v>0</v>
      </c>
      <c r="H72" s="40">
        <v>0</v>
      </c>
      <c r="I72" s="40">
        <v>0</v>
      </c>
      <c r="J72" s="40">
        <v>0</v>
      </c>
      <c r="K72" s="40">
        <v>0</v>
      </c>
      <c r="L72" s="40">
        <v>0</v>
      </c>
      <c r="M72" s="40">
        <v>0</v>
      </c>
      <c r="N72" s="102">
        <f t="shared" ref="N72" si="31">SUM(N69:N71)</f>
        <v>1204906.8995538428</v>
      </c>
      <c r="O72" s="102">
        <f t="shared" ref="O72:AG72" si="32">SUM(O69:O71)</f>
        <v>1204906.8995538428</v>
      </c>
      <c r="P72" s="102">
        <f t="shared" si="32"/>
        <v>1204906.8995538428</v>
      </c>
      <c r="Q72" s="102">
        <f t="shared" si="32"/>
        <v>1204906.8995538428</v>
      </c>
      <c r="R72" s="102">
        <f t="shared" si="32"/>
        <v>1204906.8995538428</v>
      </c>
      <c r="S72" s="102">
        <f t="shared" si="32"/>
        <v>1204906.8995538428</v>
      </c>
      <c r="T72" s="102">
        <f t="shared" si="32"/>
        <v>1204906.8995538428</v>
      </c>
      <c r="U72" s="102">
        <f t="shared" si="32"/>
        <v>1204906.8995538428</v>
      </c>
      <c r="V72" s="102">
        <f t="shared" si="32"/>
        <v>1204906.8995538428</v>
      </c>
      <c r="W72" s="102">
        <f t="shared" si="32"/>
        <v>1204906.8995538428</v>
      </c>
      <c r="X72" s="102">
        <f t="shared" si="32"/>
        <v>1204906.8995538428</v>
      </c>
      <c r="Y72" s="102">
        <f t="shared" si="32"/>
        <v>1204906.8995538428</v>
      </c>
      <c r="Z72" s="102">
        <f t="shared" si="32"/>
        <v>1204906.8995538428</v>
      </c>
      <c r="AA72" s="102">
        <f t="shared" si="32"/>
        <v>1204906.8995538428</v>
      </c>
      <c r="AB72" s="102">
        <f t="shared" si="32"/>
        <v>1204906.8995538428</v>
      </c>
      <c r="AC72" s="102">
        <f t="shared" si="32"/>
        <v>1204906.8995538428</v>
      </c>
      <c r="AD72" s="102">
        <f t="shared" si="32"/>
        <v>1204906.8995538428</v>
      </c>
      <c r="AE72" s="102">
        <f t="shared" si="32"/>
        <v>1204906.8995538428</v>
      </c>
      <c r="AF72" s="102">
        <f t="shared" si="32"/>
        <v>1204906.8995538428</v>
      </c>
      <c r="AG72" s="102">
        <f t="shared" si="32"/>
        <v>1204906.8995538428</v>
      </c>
    </row>
    <row r="73" spans="2:33" ht="13.5" customHeight="1" x14ac:dyDescent="0.25">
      <c r="B73" s="291"/>
      <c r="C73" s="63" t="s">
        <v>183</v>
      </c>
      <c r="D73" s="50" t="s">
        <v>350</v>
      </c>
      <c r="E73" s="51" t="s">
        <v>613</v>
      </c>
      <c r="F73" s="101">
        <f t="shared" si="26"/>
        <v>64131247.05746226</v>
      </c>
      <c r="G73" s="40">
        <v>0</v>
      </c>
      <c r="H73" s="40">
        <v>0</v>
      </c>
      <c r="I73" s="40">
        <v>0</v>
      </c>
      <c r="J73" s="40">
        <v>0</v>
      </c>
      <c r="K73" s="40">
        <v>0</v>
      </c>
      <c r="L73" s="40">
        <v>0</v>
      </c>
      <c r="M73" s="40">
        <v>0</v>
      </c>
      <c r="N73" s="102">
        <f t="shared" ref="N73" si="33">-N12*N18/60*N$45</f>
        <v>5301527.675420559</v>
      </c>
      <c r="O73" s="102">
        <f t="shared" ref="O73:AG73" si="34">-O12*O18/60*O$45</f>
        <v>5301527.675420559</v>
      </c>
      <c r="P73" s="102">
        <f t="shared" si="34"/>
        <v>5301527.675420559</v>
      </c>
      <c r="Q73" s="102">
        <f t="shared" si="34"/>
        <v>5301527.675420559</v>
      </c>
      <c r="R73" s="102">
        <f t="shared" si="34"/>
        <v>5301527.675420559</v>
      </c>
      <c r="S73" s="102">
        <f t="shared" si="34"/>
        <v>5301527.675420559</v>
      </c>
      <c r="T73" s="102">
        <f t="shared" si="34"/>
        <v>5301527.675420559</v>
      </c>
      <c r="U73" s="102">
        <f t="shared" si="34"/>
        <v>5301527.675420559</v>
      </c>
      <c r="V73" s="102">
        <f t="shared" si="34"/>
        <v>5301527.675420559</v>
      </c>
      <c r="W73" s="102">
        <f t="shared" si="34"/>
        <v>5301527.675420559</v>
      </c>
      <c r="X73" s="102">
        <f t="shared" si="34"/>
        <v>5301527.675420559</v>
      </c>
      <c r="Y73" s="102">
        <f t="shared" si="34"/>
        <v>5301527.675420559</v>
      </c>
      <c r="Z73" s="102">
        <f t="shared" si="34"/>
        <v>5301527.675420559</v>
      </c>
      <c r="AA73" s="102">
        <f t="shared" si="34"/>
        <v>5301527.675420559</v>
      </c>
      <c r="AB73" s="102">
        <f t="shared" si="34"/>
        <v>5301527.675420559</v>
      </c>
      <c r="AC73" s="102">
        <f t="shared" si="34"/>
        <v>5301527.675420559</v>
      </c>
      <c r="AD73" s="102">
        <f t="shared" si="34"/>
        <v>5301527.675420559</v>
      </c>
      <c r="AE73" s="102">
        <f t="shared" si="34"/>
        <v>5301527.675420559</v>
      </c>
      <c r="AF73" s="102">
        <f t="shared" si="34"/>
        <v>5301527.675420559</v>
      </c>
      <c r="AG73" s="102">
        <f t="shared" si="34"/>
        <v>5301527.675420559</v>
      </c>
    </row>
    <row r="74" spans="2:33" ht="13.5" customHeight="1" x14ac:dyDescent="0.25">
      <c r="B74" s="291"/>
      <c r="C74" s="63" t="s">
        <v>285</v>
      </c>
      <c r="D74" s="51" t="s">
        <v>351</v>
      </c>
      <c r="E74" s="51" t="s">
        <v>613</v>
      </c>
      <c r="F74" s="101">
        <f t="shared" si="26"/>
        <v>506074.35604311118</v>
      </c>
      <c r="G74" s="40">
        <v>0</v>
      </c>
      <c r="H74" s="40">
        <v>0</v>
      </c>
      <c r="I74" s="40">
        <v>0</v>
      </c>
      <c r="J74" s="40">
        <v>0</v>
      </c>
      <c r="K74" s="40">
        <v>0</v>
      </c>
      <c r="L74" s="40">
        <v>0</v>
      </c>
      <c r="M74" s="40">
        <v>0</v>
      </c>
      <c r="N74" s="102">
        <f t="shared" ref="N74" si="35">-SUMPRODUCT(N20:N26,N46:N52)</f>
        <v>41835.568891701492</v>
      </c>
      <c r="O74" s="102">
        <f t="shared" ref="O74:AG74" si="36">-SUMPRODUCT(O20:O26,O46:O52)</f>
        <v>41835.568891701492</v>
      </c>
      <c r="P74" s="102">
        <f t="shared" si="36"/>
        <v>41835.568891701492</v>
      </c>
      <c r="Q74" s="102">
        <f t="shared" si="36"/>
        <v>41835.568891701492</v>
      </c>
      <c r="R74" s="102">
        <f t="shared" si="36"/>
        <v>41835.568891701492</v>
      </c>
      <c r="S74" s="102">
        <f t="shared" si="36"/>
        <v>41835.568891701492</v>
      </c>
      <c r="T74" s="102">
        <f t="shared" si="36"/>
        <v>41835.568891701492</v>
      </c>
      <c r="U74" s="102">
        <f t="shared" si="36"/>
        <v>41835.568891701492</v>
      </c>
      <c r="V74" s="102">
        <f t="shared" si="36"/>
        <v>41835.568891701492</v>
      </c>
      <c r="W74" s="102">
        <f t="shared" si="36"/>
        <v>41835.568891701492</v>
      </c>
      <c r="X74" s="102">
        <f t="shared" si="36"/>
        <v>41835.568891701492</v>
      </c>
      <c r="Y74" s="102">
        <f t="shared" si="36"/>
        <v>41835.568891701492</v>
      </c>
      <c r="Z74" s="102">
        <f t="shared" si="36"/>
        <v>41835.568891701492</v>
      </c>
      <c r="AA74" s="102">
        <f t="shared" si="36"/>
        <v>41835.568891701492</v>
      </c>
      <c r="AB74" s="102">
        <f t="shared" si="36"/>
        <v>41835.568891701492</v>
      </c>
      <c r="AC74" s="102">
        <f t="shared" si="36"/>
        <v>41835.568891701492</v>
      </c>
      <c r="AD74" s="102">
        <f t="shared" si="36"/>
        <v>41835.568891701492</v>
      </c>
      <c r="AE74" s="102">
        <f t="shared" si="36"/>
        <v>41835.568891701492</v>
      </c>
      <c r="AF74" s="102">
        <f t="shared" si="36"/>
        <v>41835.568891701492</v>
      </c>
      <c r="AG74" s="102">
        <f t="shared" si="36"/>
        <v>41835.568891701492</v>
      </c>
    </row>
    <row r="75" spans="2:33" ht="13.5" customHeight="1" x14ac:dyDescent="0.25">
      <c r="B75" s="291"/>
      <c r="C75" s="63" t="s">
        <v>286</v>
      </c>
      <c r="D75" s="50" t="s">
        <v>352</v>
      </c>
      <c r="E75" s="51" t="s">
        <v>613</v>
      </c>
      <c r="F75" s="101">
        <f t="shared" si="26"/>
        <v>508557.77408243314</v>
      </c>
      <c r="G75" s="40">
        <v>0</v>
      </c>
      <c r="H75" s="40">
        <v>0</v>
      </c>
      <c r="I75" s="40">
        <v>0</v>
      </c>
      <c r="J75" s="40">
        <v>0</v>
      </c>
      <c r="K75" s="40">
        <v>0</v>
      </c>
      <c r="L75" s="40">
        <v>0</v>
      </c>
      <c r="M75" s="40">
        <v>0</v>
      </c>
      <c r="N75" s="102">
        <f t="shared" ref="N75" si="37">-SUMPRODUCT(N20:N26,N53:N59)</f>
        <v>42040.865218674626</v>
      </c>
      <c r="O75" s="102">
        <f t="shared" ref="O75:AG75" si="38">-SUMPRODUCT(O20:O26,O53:O59)</f>
        <v>42040.865218674626</v>
      </c>
      <c r="P75" s="102">
        <f t="shared" si="38"/>
        <v>42040.865218674626</v>
      </c>
      <c r="Q75" s="102">
        <f t="shared" si="38"/>
        <v>42040.865218674626</v>
      </c>
      <c r="R75" s="102">
        <f t="shared" si="38"/>
        <v>42040.865218674626</v>
      </c>
      <c r="S75" s="102">
        <f t="shared" si="38"/>
        <v>42040.865218674626</v>
      </c>
      <c r="T75" s="102">
        <f t="shared" si="38"/>
        <v>42040.865218674626</v>
      </c>
      <c r="U75" s="102">
        <f t="shared" si="38"/>
        <v>42040.865218674626</v>
      </c>
      <c r="V75" s="102">
        <f t="shared" si="38"/>
        <v>42040.865218674626</v>
      </c>
      <c r="W75" s="102">
        <f t="shared" si="38"/>
        <v>42040.865218674626</v>
      </c>
      <c r="X75" s="102">
        <f t="shared" si="38"/>
        <v>42040.865218674626</v>
      </c>
      <c r="Y75" s="102">
        <f t="shared" si="38"/>
        <v>42040.865218674626</v>
      </c>
      <c r="Z75" s="102">
        <f t="shared" si="38"/>
        <v>42040.865218674626</v>
      </c>
      <c r="AA75" s="102">
        <f t="shared" si="38"/>
        <v>42040.865218674626</v>
      </c>
      <c r="AB75" s="102">
        <f t="shared" si="38"/>
        <v>42040.865218674626</v>
      </c>
      <c r="AC75" s="102">
        <f t="shared" si="38"/>
        <v>42040.865218674626</v>
      </c>
      <c r="AD75" s="102">
        <f t="shared" si="38"/>
        <v>42040.865218674626</v>
      </c>
      <c r="AE75" s="102">
        <f t="shared" si="38"/>
        <v>42040.865218674626</v>
      </c>
      <c r="AF75" s="102">
        <f t="shared" si="38"/>
        <v>42040.865218674626</v>
      </c>
      <c r="AG75" s="102">
        <f t="shared" si="38"/>
        <v>42040.865218674626</v>
      </c>
    </row>
    <row r="76" spans="2:33" ht="13.5" customHeight="1" x14ac:dyDescent="0.25">
      <c r="B76" s="291"/>
      <c r="C76" s="63" t="s">
        <v>353</v>
      </c>
      <c r="D76" s="50" t="s">
        <v>354</v>
      </c>
      <c r="E76" s="51" t="s">
        <v>613</v>
      </c>
      <c r="F76" s="101">
        <f t="shared" si="26"/>
        <v>724030.65657486941</v>
      </c>
      <c r="G76" s="40">
        <v>0</v>
      </c>
      <c r="H76" s="40">
        <v>0</v>
      </c>
      <c r="I76" s="40">
        <v>0</v>
      </c>
      <c r="J76" s="40">
        <v>0</v>
      </c>
      <c r="K76" s="40">
        <v>0</v>
      </c>
      <c r="L76" s="40">
        <v>0</v>
      </c>
      <c r="M76" s="40">
        <v>0</v>
      </c>
      <c r="N76" s="102">
        <f t="shared" ref="N76" si="39">-SUMPRODUCT(N20:N26,N60:N66)</f>
        <v>59853.327976692541</v>
      </c>
      <c r="O76" s="102">
        <f t="shared" ref="O76:AG76" si="40">-SUMPRODUCT(O20:O26,O60:O66)</f>
        <v>59853.327976692541</v>
      </c>
      <c r="P76" s="102">
        <f t="shared" si="40"/>
        <v>59853.327976692541</v>
      </c>
      <c r="Q76" s="102">
        <f t="shared" si="40"/>
        <v>59853.327976692541</v>
      </c>
      <c r="R76" s="102">
        <f t="shared" si="40"/>
        <v>59853.327976692541</v>
      </c>
      <c r="S76" s="102">
        <f t="shared" si="40"/>
        <v>59853.327976692541</v>
      </c>
      <c r="T76" s="102">
        <f t="shared" si="40"/>
        <v>59853.327976692541</v>
      </c>
      <c r="U76" s="102">
        <f t="shared" si="40"/>
        <v>59853.327976692541</v>
      </c>
      <c r="V76" s="102">
        <f t="shared" si="40"/>
        <v>59853.327976692541</v>
      </c>
      <c r="W76" s="102">
        <f t="shared" si="40"/>
        <v>59853.327976692541</v>
      </c>
      <c r="X76" s="102">
        <f t="shared" si="40"/>
        <v>59853.327976692541</v>
      </c>
      <c r="Y76" s="102">
        <f t="shared" si="40"/>
        <v>59853.327976692541</v>
      </c>
      <c r="Z76" s="102">
        <f t="shared" si="40"/>
        <v>59853.327976692541</v>
      </c>
      <c r="AA76" s="102">
        <f t="shared" si="40"/>
        <v>59853.327976692541</v>
      </c>
      <c r="AB76" s="102">
        <f t="shared" si="40"/>
        <v>59853.327976692541</v>
      </c>
      <c r="AC76" s="102">
        <f t="shared" si="40"/>
        <v>59853.327976692541</v>
      </c>
      <c r="AD76" s="102">
        <f t="shared" si="40"/>
        <v>59853.327976692541</v>
      </c>
      <c r="AE76" s="102">
        <f t="shared" si="40"/>
        <v>59853.327976692541</v>
      </c>
      <c r="AF76" s="102">
        <f t="shared" si="40"/>
        <v>59853.327976692541</v>
      </c>
      <c r="AG76" s="102">
        <f t="shared" si="40"/>
        <v>59853.327976692541</v>
      </c>
    </row>
    <row r="77" spans="2:33" ht="13.5" customHeight="1" x14ac:dyDescent="0.25">
      <c r="B77" s="291"/>
      <c r="C77" s="55" t="s">
        <v>588</v>
      </c>
      <c r="D77" s="51" t="s">
        <v>355</v>
      </c>
      <c r="E77" s="51" t="s">
        <v>613</v>
      </c>
      <c r="F77" s="101">
        <f t="shared" si="26"/>
        <v>-668472.30092688219</v>
      </c>
      <c r="G77" s="40">
        <v>0</v>
      </c>
      <c r="H77" s="40">
        <v>0</v>
      </c>
      <c r="I77" s="40">
        <v>0</v>
      </c>
      <c r="J77" s="40">
        <v>0</v>
      </c>
      <c r="K77" s="40">
        <v>0</v>
      </c>
      <c r="L77" s="40">
        <v>0</v>
      </c>
      <c r="M77" s="40">
        <v>0</v>
      </c>
      <c r="N77" s="101">
        <f t="shared" ref="N77" si="41">(-SUMPRODUCT(N20:N23,N36:N39)*N43-SUMPRODUCT(N24:N26,N40:N42))/1000000*N67</f>
        <v>-55260.494161925984</v>
      </c>
      <c r="O77" s="101">
        <f t="shared" ref="O77:AG77" si="42">(-SUMPRODUCT(O20:O23,O36:O39)*O43-SUMPRODUCT(O24:O26,O40:O42))/1000000*O67</f>
        <v>-55260.494161925984</v>
      </c>
      <c r="P77" s="101">
        <f t="shared" si="42"/>
        <v>-55260.494161925984</v>
      </c>
      <c r="Q77" s="101">
        <f t="shared" si="42"/>
        <v>-55260.494161925984</v>
      </c>
      <c r="R77" s="101">
        <f t="shared" si="42"/>
        <v>-55260.494161925984</v>
      </c>
      <c r="S77" s="101">
        <f t="shared" si="42"/>
        <v>-55260.494161925984</v>
      </c>
      <c r="T77" s="101">
        <f t="shared" si="42"/>
        <v>-55260.494161925984</v>
      </c>
      <c r="U77" s="101">
        <f t="shared" si="42"/>
        <v>-55260.494161925984</v>
      </c>
      <c r="V77" s="101">
        <f t="shared" si="42"/>
        <v>-55260.494161925984</v>
      </c>
      <c r="W77" s="101">
        <f t="shared" si="42"/>
        <v>-55260.494161925984</v>
      </c>
      <c r="X77" s="101">
        <f t="shared" si="42"/>
        <v>-55260.494161925984</v>
      </c>
      <c r="Y77" s="101">
        <f t="shared" si="42"/>
        <v>-55260.494161925984</v>
      </c>
      <c r="Z77" s="101">
        <f t="shared" si="42"/>
        <v>-55260.494161925984</v>
      </c>
      <c r="AA77" s="101">
        <f t="shared" si="42"/>
        <v>-55260.494161925984</v>
      </c>
      <c r="AB77" s="101">
        <f t="shared" si="42"/>
        <v>-55260.494161925984</v>
      </c>
      <c r="AC77" s="101">
        <f t="shared" si="42"/>
        <v>-55260.494161925984</v>
      </c>
      <c r="AD77" s="101">
        <f t="shared" si="42"/>
        <v>-55260.494161925984</v>
      </c>
      <c r="AE77" s="101">
        <f t="shared" si="42"/>
        <v>-55260.494161925984</v>
      </c>
      <c r="AF77" s="101">
        <f t="shared" si="42"/>
        <v>-55260.494161925984</v>
      </c>
      <c r="AG77" s="101">
        <f t="shared" si="42"/>
        <v>-55260.494161925984</v>
      </c>
    </row>
    <row r="78" spans="2:33" ht="13.5" customHeight="1" x14ac:dyDescent="0.25">
      <c r="B78" s="291"/>
      <c r="C78" s="64" t="s">
        <v>589</v>
      </c>
      <c r="D78" s="65" t="s">
        <v>356</v>
      </c>
      <c r="E78" s="52" t="s">
        <v>614</v>
      </c>
      <c r="F78" s="104">
        <f t="shared" si="26"/>
        <v>79776893.296260521</v>
      </c>
      <c r="G78" s="40">
        <v>0</v>
      </c>
      <c r="H78" s="40">
        <v>0</v>
      </c>
      <c r="I78" s="40">
        <v>0</v>
      </c>
      <c r="J78" s="40">
        <v>0</v>
      </c>
      <c r="K78" s="40">
        <v>0</v>
      </c>
      <c r="L78" s="40">
        <v>0</v>
      </c>
      <c r="M78" s="40">
        <v>0</v>
      </c>
      <c r="N78" s="103">
        <f t="shared" ref="N78" si="43">SUM(N72:N77)</f>
        <v>6594903.8428995442</v>
      </c>
      <c r="O78" s="103">
        <f t="shared" ref="O78:AG78" si="44">SUM(O72:O77)</f>
        <v>6594903.8428995442</v>
      </c>
      <c r="P78" s="103">
        <f t="shared" si="44"/>
        <v>6594903.8428995442</v>
      </c>
      <c r="Q78" s="103">
        <f t="shared" si="44"/>
        <v>6594903.8428995442</v>
      </c>
      <c r="R78" s="103">
        <f t="shared" si="44"/>
        <v>6594903.8428995442</v>
      </c>
      <c r="S78" s="103">
        <f t="shared" si="44"/>
        <v>6594903.8428995442</v>
      </c>
      <c r="T78" s="103">
        <f t="shared" si="44"/>
        <v>6594903.8428995442</v>
      </c>
      <c r="U78" s="103">
        <f t="shared" si="44"/>
        <v>6594903.8428995442</v>
      </c>
      <c r="V78" s="103">
        <f t="shared" si="44"/>
        <v>6594903.8428995442</v>
      </c>
      <c r="W78" s="103">
        <f t="shared" si="44"/>
        <v>6594903.8428995442</v>
      </c>
      <c r="X78" s="103">
        <f t="shared" si="44"/>
        <v>6594903.8428995442</v>
      </c>
      <c r="Y78" s="103">
        <f t="shared" si="44"/>
        <v>6594903.8428995442</v>
      </c>
      <c r="Z78" s="103">
        <f t="shared" si="44"/>
        <v>6594903.8428995442</v>
      </c>
      <c r="AA78" s="103">
        <f t="shared" si="44"/>
        <v>6594903.8428995442</v>
      </c>
      <c r="AB78" s="103">
        <f t="shared" si="44"/>
        <v>6594903.8428995442</v>
      </c>
      <c r="AC78" s="103">
        <f t="shared" si="44"/>
        <v>6594903.8428995442</v>
      </c>
      <c r="AD78" s="103">
        <f t="shared" si="44"/>
        <v>6594903.8428995442</v>
      </c>
      <c r="AE78" s="103">
        <f t="shared" si="44"/>
        <v>6594903.8428995442</v>
      </c>
      <c r="AF78" s="103">
        <f t="shared" si="44"/>
        <v>6594903.8428995442</v>
      </c>
      <c r="AG78" s="103">
        <f t="shared" si="44"/>
        <v>6594903.8428995442</v>
      </c>
    </row>
    <row r="79" spans="2:33" ht="4.5" customHeight="1" x14ac:dyDescent="0.25">
      <c r="B79" s="5"/>
      <c r="C79" s="5"/>
      <c r="N79" s="5"/>
      <c r="O79" s="5"/>
      <c r="P79" s="5"/>
      <c r="Q79" s="5"/>
      <c r="R79" s="5"/>
      <c r="S79" s="5"/>
      <c r="T79" s="5"/>
      <c r="U79" s="5"/>
      <c r="V79" s="5"/>
      <c r="W79" s="5"/>
      <c r="X79" s="5"/>
      <c r="Y79" s="5"/>
      <c r="Z79" s="5"/>
      <c r="AA79" s="5"/>
      <c r="AB79" s="5"/>
    </row>
    <row r="80" spans="2:33" ht="13.5" customHeight="1" x14ac:dyDescent="0.25">
      <c r="B80" s="284" t="s">
        <v>475</v>
      </c>
      <c r="C80" s="63" t="s">
        <v>184</v>
      </c>
      <c r="D80" s="50" t="s">
        <v>185</v>
      </c>
      <c r="E80" s="51" t="s">
        <v>613</v>
      </c>
      <c r="F80" s="101">
        <f t="shared" ref="F80:F89" si="45">+NPV(3%,G80:AG80)</f>
        <v>0</v>
      </c>
      <c r="G80" s="40">
        <v>0</v>
      </c>
      <c r="H80" s="40">
        <v>0</v>
      </c>
      <c r="I80" s="40">
        <v>0</v>
      </c>
      <c r="J80" s="40">
        <v>0</v>
      </c>
      <c r="K80" s="40">
        <v>0</v>
      </c>
      <c r="L80" s="40">
        <v>0</v>
      </c>
      <c r="M80" s="40">
        <v>0</v>
      </c>
      <c r="N80" s="105">
        <f t="shared" ref="N80:N86" si="46">+N20*N28</f>
        <v>0</v>
      </c>
      <c r="O80" s="105">
        <f t="shared" ref="O80:AG80" si="47">+O20*O28</f>
        <v>0</v>
      </c>
      <c r="P80" s="105">
        <f t="shared" si="47"/>
        <v>0</v>
      </c>
      <c r="Q80" s="105">
        <f t="shared" si="47"/>
        <v>0</v>
      </c>
      <c r="R80" s="105">
        <f t="shared" si="47"/>
        <v>0</v>
      </c>
      <c r="S80" s="105">
        <f t="shared" si="47"/>
        <v>0</v>
      </c>
      <c r="T80" s="105">
        <f t="shared" si="47"/>
        <v>0</v>
      </c>
      <c r="U80" s="105">
        <f t="shared" si="47"/>
        <v>0</v>
      </c>
      <c r="V80" s="105">
        <f t="shared" si="47"/>
        <v>0</v>
      </c>
      <c r="W80" s="105">
        <f t="shared" si="47"/>
        <v>0</v>
      </c>
      <c r="X80" s="105">
        <f t="shared" si="47"/>
        <v>0</v>
      </c>
      <c r="Y80" s="105">
        <f t="shared" si="47"/>
        <v>0</v>
      </c>
      <c r="Z80" s="105">
        <f t="shared" si="47"/>
        <v>0</v>
      </c>
      <c r="AA80" s="105">
        <f t="shared" si="47"/>
        <v>0</v>
      </c>
      <c r="AB80" s="105">
        <f t="shared" si="47"/>
        <v>0</v>
      </c>
      <c r="AC80" s="105">
        <f t="shared" si="47"/>
        <v>0</v>
      </c>
      <c r="AD80" s="105">
        <f t="shared" si="47"/>
        <v>0</v>
      </c>
      <c r="AE80" s="105">
        <f t="shared" si="47"/>
        <v>0</v>
      </c>
      <c r="AF80" s="105">
        <f t="shared" si="47"/>
        <v>0</v>
      </c>
      <c r="AG80" s="105">
        <f t="shared" si="47"/>
        <v>0</v>
      </c>
    </row>
    <row r="81" spans="2:36" ht="13.5" customHeight="1" x14ac:dyDescent="0.25">
      <c r="B81" s="284"/>
      <c r="C81" s="63" t="s">
        <v>186</v>
      </c>
      <c r="D81" s="50" t="s">
        <v>187</v>
      </c>
      <c r="E81" s="51" t="s">
        <v>613</v>
      </c>
      <c r="F81" s="101">
        <f t="shared" si="45"/>
        <v>0</v>
      </c>
      <c r="G81" s="40">
        <v>0</v>
      </c>
      <c r="H81" s="40">
        <v>0</v>
      </c>
      <c r="I81" s="40">
        <v>0</v>
      </c>
      <c r="J81" s="40">
        <v>0</v>
      </c>
      <c r="K81" s="40">
        <v>0</v>
      </c>
      <c r="L81" s="40">
        <v>0</v>
      </c>
      <c r="M81" s="40">
        <v>0</v>
      </c>
      <c r="N81" s="105">
        <f>+N21*N29</f>
        <v>0</v>
      </c>
      <c r="O81" s="105">
        <f t="shared" ref="O81:AG81" si="48">+O21*O29</f>
        <v>0</v>
      </c>
      <c r="P81" s="105">
        <f t="shared" si="48"/>
        <v>0</v>
      </c>
      <c r="Q81" s="105">
        <f t="shared" si="48"/>
        <v>0</v>
      </c>
      <c r="R81" s="105">
        <f t="shared" si="48"/>
        <v>0</v>
      </c>
      <c r="S81" s="105">
        <f t="shared" si="48"/>
        <v>0</v>
      </c>
      <c r="T81" s="105">
        <f t="shared" si="48"/>
        <v>0</v>
      </c>
      <c r="U81" s="105">
        <f t="shared" si="48"/>
        <v>0</v>
      </c>
      <c r="V81" s="105">
        <f t="shared" si="48"/>
        <v>0</v>
      </c>
      <c r="W81" s="105">
        <f t="shared" si="48"/>
        <v>0</v>
      </c>
      <c r="X81" s="105">
        <f t="shared" si="48"/>
        <v>0</v>
      </c>
      <c r="Y81" s="105">
        <f t="shared" si="48"/>
        <v>0</v>
      </c>
      <c r="Z81" s="105">
        <f t="shared" si="48"/>
        <v>0</v>
      </c>
      <c r="AA81" s="105">
        <f t="shared" si="48"/>
        <v>0</v>
      </c>
      <c r="AB81" s="105">
        <f t="shared" si="48"/>
        <v>0</v>
      </c>
      <c r="AC81" s="105">
        <f t="shared" si="48"/>
        <v>0</v>
      </c>
      <c r="AD81" s="105">
        <f t="shared" si="48"/>
        <v>0</v>
      </c>
      <c r="AE81" s="105">
        <f t="shared" si="48"/>
        <v>0</v>
      </c>
      <c r="AF81" s="105">
        <f t="shared" si="48"/>
        <v>0</v>
      </c>
      <c r="AG81" s="105">
        <f t="shared" si="48"/>
        <v>0</v>
      </c>
    </row>
    <row r="82" spans="2:36" ht="13.5" customHeight="1" x14ac:dyDescent="0.25">
      <c r="B82" s="284"/>
      <c r="C82" s="63" t="s">
        <v>188</v>
      </c>
      <c r="D82" s="50" t="s">
        <v>189</v>
      </c>
      <c r="E82" s="51" t="s">
        <v>613</v>
      </c>
      <c r="F82" s="101">
        <f t="shared" si="45"/>
        <v>0</v>
      </c>
      <c r="G82" s="40">
        <v>0</v>
      </c>
      <c r="H82" s="40">
        <v>0</v>
      </c>
      <c r="I82" s="40">
        <v>0</v>
      </c>
      <c r="J82" s="40">
        <v>0</v>
      </c>
      <c r="K82" s="40">
        <v>0</v>
      </c>
      <c r="L82" s="40">
        <v>0</v>
      </c>
      <c r="M82" s="40">
        <v>0</v>
      </c>
      <c r="N82" s="105">
        <f t="shared" si="46"/>
        <v>0</v>
      </c>
      <c r="O82" s="105">
        <f t="shared" ref="O82:AG82" si="49">+O22*O30</f>
        <v>0</v>
      </c>
      <c r="P82" s="105">
        <f t="shared" si="49"/>
        <v>0</v>
      </c>
      <c r="Q82" s="105">
        <f t="shared" si="49"/>
        <v>0</v>
      </c>
      <c r="R82" s="105">
        <f t="shared" si="49"/>
        <v>0</v>
      </c>
      <c r="S82" s="105">
        <f t="shared" si="49"/>
        <v>0</v>
      </c>
      <c r="T82" s="105">
        <f t="shared" si="49"/>
        <v>0</v>
      </c>
      <c r="U82" s="105">
        <f t="shared" si="49"/>
        <v>0</v>
      </c>
      <c r="V82" s="105">
        <f t="shared" si="49"/>
        <v>0</v>
      </c>
      <c r="W82" s="105">
        <f t="shared" si="49"/>
        <v>0</v>
      </c>
      <c r="X82" s="105">
        <f t="shared" si="49"/>
        <v>0</v>
      </c>
      <c r="Y82" s="105">
        <f t="shared" si="49"/>
        <v>0</v>
      </c>
      <c r="Z82" s="105">
        <f t="shared" si="49"/>
        <v>0</v>
      </c>
      <c r="AA82" s="105">
        <f t="shared" si="49"/>
        <v>0</v>
      </c>
      <c r="AB82" s="105">
        <f t="shared" si="49"/>
        <v>0</v>
      </c>
      <c r="AC82" s="105">
        <f t="shared" si="49"/>
        <v>0</v>
      </c>
      <c r="AD82" s="105">
        <f t="shared" si="49"/>
        <v>0</v>
      </c>
      <c r="AE82" s="105">
        <f t="shared" si="49"/>
        <v>0</v>
      </c>
      <c r="AF82" s="105">
        <f t="shared" si="49"/>
        <v>0</v>
      </c>
      <c r="AG82" s="105">
        <f t="shared" si="49"/>
        <v>0</v>
      </c>
    </row>
    <row r="83" spans="2:36" ht="13.5" customHeight="1" x14ac:dyDescent="0.25">
      <c r="B83" s="284"/>
      <c r="C83" s="63" t="s">
        <v>190</v>
      </c>
      <c r="D83" s="50" t="s">
        <v>191</v>
      </c>
      <c r="E83" s="51" t="s">
        <v>613</v>
      </c>
      <c r="F83" s="101">
        <f t="shared" si="45"/>
        <v>43160646.976478674</v>
      </c>
      <c r="G83" s="40">
        <v>0</v>
      </c>
      <c r="H83" s="40">
        <v>0</v>
      </c>
      <c r="I83" s="40">
        <v>0</v>
      </c>
      <c r="J83" s="40">
        <v>0</v>
      </c>
      <c r="K83" s="40">
        <v>0</v>
      </c>
      <c r="L83" s="40">
        <v>0</v>
      </c>
      <c r="M83" s="40">
        <v>0</v>
      </c>
      <c r="N83" s="105">
        <f>+N23*N31-400000</f>
        <v>3567954.3893764545</v>
      </c>
      <c r="O83" s="105">
        <f t="shared" ref="O83:AG83" si="50">+O23*O31-400000</f>
        <v>3567954.3893764545</v>
      </c>
      <c r="P83" s="105">
        <f t="shared" si="50"/>
        <v>3567954.3893764545</v>
      </c>
      <c r="Q83" s="105">
        <f t="shared" si="50"/>
        <v>3567954.3893764545</v>
      </c>
      <c r="R83" s="105">
        <f t="shared" si="50"/>
        <v>3567954.3893764545</v>
      </c>
      <c r="S83" s="105">
        <f t="shared" si="50"/>
        <v>3567954.3893764545</v>
      </c>
      <c r="T83" s="105">
        <f t="shared" si="50"/>
        <v>3567954.3893764545</v>
      </c>
      <c r="U83" s="105">
        <f t="shared" si="50"/>
        <v>3567954.3893764545</v>
      </c>
      <c r="V83" s="105">
        <f t="shared" si="50"/>
        <v>3567954.3893764545</v>
      </c>
      <c r="W83" s="105">
        <f t="shared" si="50"/>
        <v>3567954.3893764545</v>
      </c>
      <c r="X83" s="105">
        <f t="shared" si="50"/>
        <v>3567954.3893764545</v>
      </c>
      <c r="Y83" s="105">
        <f t="shared" si="50"/>
        <v>3567954.3893764545</v>
      </c>
      <c r="Z83" s="105">
        <f t="shared" si="50"/>
        <v>3567954.3893764545</v>
      </c>
      <c r="AA83" s="105">
        <f t="shared" si="50"/>
        <v>3567954.3893764545</v>
      </c>
      <c r="AB83" s="105">
        <f t="shared" si="50"/>
        <v>3567954.3893764545</v>
      </c>
      <c r="AC83" s="105">
        <f t="shared" si="50"/>
        <v>3567954.3893764545</v>
      </c>
      <c r="AD83" s="105">
        <f t="shared" si="50"/>
        <v>3567954.3893764545</v>
      </c>
      <c r="AE83" s="105">
        <f t="shared" si="50"/>
        <v>3567954.3893764545</v>
      </c>
      <c r="AF83" s="105">
        <f t="shared" si="50"/>
        <v>3567954.3893764545</v>
      </c>
      <c r="AG83" s="105">
        <f t="shared" si="50"/>
        <v>3567954.3893764545</v>
      </c>
      <c r="AJ83" s="214" t="s">
        <v>741</v>
      </c>
    </row>
    <row r="84" spans="2:36" ht="13.5" customHeight="1" x14ac:dyDescent="0.25">
      <c r="B84" s="284"/>
      <c r="C84" s="63" t="s">
        <v>192</v>
      </c>
      <c r="D84" s="50" t="s">
        <v>193</v>
      </c>
      <c r="E84" s="51" t="s">
        <v>613</v>
      </c>
      <c r="F84" s="101">
        <f t="shared" si="45"/>
        <v>-4356445.9796319101</v>
      </c>
      <c r="G84" s="40">
        <v>0</v>
      </c>
      <c r="H84" s="40">
        <v>0</v>
      </c>
      <c r="I84" s="40">
        <v>0</v>
      </c>
      <c r="J84" s="40">
        <v>0</v>
      </c>
      <c r="K84" s="40">
        <v>0</v>
      </c>
      <c r="L84" s="40">
        <v>0</v>
      </c>
      <c r="M84" s="40">
        <v>0</v>
      </c>
      <c r="N84" s="105">
        <f t="shared" si="46"/>
        <v>-360133.63199999998</v>
      </c>
      <c r="O84" s="105">
        <f t="shared" ref="O84:AG84" si="51">+O24*O32</f>
        <v>-360133.63199999998</v>
      </c>
      <c r="P84" s="105">
        <f t="shared" si="51"/>
        <v>-360133.63199999998</v>
      </c>
      <c r="Q84" s="105">
        <f t="shared" si="51"/>
        <v>-360133.63199999998</v>
      </c>
      <c r="R84" s="105">
        <f t="shared" si="51"/>
        <v>-360133.63199999998</v>
      </c>
      <c r="S84" s="105">
        <f t="shared" si="51"/>
        <v>-360133.63199999998</v>
      </c>
      <c r="T84" s="105">
        <f t="shared" si="51"/>
        <v>-360133.63199999998</v>
      </c>
      <c r="U84" s="105">
        <f t="shared" si="51"/>
        <v>-360133.63199999998</v>
      </c>
      <c r="V84" s="105">
        <f t="shared" si="51"/>
        <v>-360133.63199999998</v>
      </c>
      <c r="W84" s="105">
        <f t="shared" si="51"/>
        <v>-360133.63199999998</v>
      </c>
      <c r="X84" s="105">
        <f t="shared" si="51"/>
        <v>-360133.63199999998</v>
      </c>
      <c r="Y84" s="105">
        <f t="shared" si="51"/>
        <v>-360133.63199999998</v>
      </c>
      <c r="Z84" s="105">
        <f t="shared" si="51"/>
        <v>-360133.63199999998</v>
      </c>
      <c r="AA84" s="105">
        <f t="shared" si="51"/>
        <v>-360133.63199999998</v>
      </c>
      <c r="AB84" s="105">
        <f t="shared" si="51"/>
        <v>-360133.63199999998</v>
      </c>
      <c r="AC84" s="105">
        <f t="shared" si="51"/>
        <v>-360133.63199999998</v>
      </c>
      <c r="AD84" s="105">
        <f t="shared" si="51"/>
        <v>-360133.63199999998</v>
      </c>
      <c r="AE84" s="105">
        <f t="shared" si="51"/>
        <v>-360133.63199999998</v>
      </c>
      <c r="AF84" s="105">
        <f t="shared" si="51"/>
        <v>-360133.63199999998</v>
      </c>
      <c r="AG84" s="105">
        <f t="shared" si="51"/>
        <v>-360133.63199999998</v>
      </c>
    </row>
    <row r="85" spans="2:36" ht="13.5" customHeight="1" x14ac:dyDescent="0.25">
      <c r="B85" s="284"/>
      <c r="C85" s="63" t="s">
        <v>194</v>
      </c>
      <c r="D85" s="51" t="s">
        <v>195</v>
      </c>
      <c r="E85" s="51" t="s">
        <v>613</v>
      </c>
      <c r="F85" s="101">
        <f t="shared" si="45"/>
        <v>-20484846.263737105</v>
      </c>
      <c r="G85" s="40">
        <v>0</v>
      </c>
      <c r="H85" s="40">
        <v>0</v>
      </c>
      <c r="I85" s="40">
        <v>0</v>
      </c>
      <c r="J85" s="40">
        <v>0</v>
      </c>
      <c r="K85" s="40">
        <v>0</v>
      </c>
      <c r="L85" s="40">
        <v>0</v>
      </c>
      <c r="M85" s="40">
        <v>0</v>
      </c>
      <c r="N85" s="105">
        <f t="shared" si="46"/>
        <v>-1693417.5519248843</v>
      </c>
      <c r="O85" s="105">
        <f t="shared" ref="O85:AG85" si="52">+O25*O33</f>
        <v>-1693417.5519248843</v>
      </c>
      <c r="P85" s="105">
        <f t="shared" si="52"/>
        <v>-1693417.5519248843</v>
      </c>
      <c r="Q85" s="105">
        <f t="shared" si="52"/>
        <v>-1693417.5519248843</v>
      </c>
      <c r="R85" s="105">
        <f t="shared" si="52"/>
        <v>-1693417.5519248843</v>
      </c>
      <c r="S85" s="105">
        <f t="shared" si="52"/>
        <v>-1693417.5519248843</v>
      </c>
      <c r="T85" s="105">
        <f t="shared" si="52"/>
        <v>-1693417.5519248843</v>
      </c>
      <c r="U85" s="105">
        <f t="shared" si="52"/>
        <v>-1693417.5519248843</v>
      </c>
      <c r="V85" s="105">
        <f t="shared" si="52"/>
        <v>-1693417.5519248843</v>
      </c>
      <c r="W85" s="105">
        <f t="shared" si="52"/>
        <v>-1693417.5519248843</v>
      </c>
      <c r="X85" s="105">
        <f t="shared" si="52"/>
        <v>-1693417.5519248843</v>
      </c>
      <c r="Y85" s="105">
        <f t="shared" si="52"/>
        <v>-1693417.5519248843</v>
      </c>
      <c r="Z85" s="105">
        <f t="shared" si="52"/>
        <v>-1693417.5519248843</v>
      </c>
      <c r="AA85" s="105">
        <f t="shared" si="52"/>
        <v>-1693417.5519248843</v>
      </c>
      <c r="AB85" s="105">
        <f t="shared" si="52"/>
        <v>-1693417.5519248843</v>
      </c>
      <c r="AC85" s="105">
        <f t="shared" si="52"/>
        <v>-1693417.5519248843</v>
      </c>
      <c r="AD85" s="105">
        <f t="shared" si="52"/>
        <v>-1693417.5519248843</v>
      </c>
      <c r="AE85" s="105">
        <f t="shared" si="52"/>
        <v>-1693417.5519248843</v>
      </c>
      <c r="AF85" s="105">
        <f t="shared" si="52"/>
        <v>-1693417.5519248843</v>
      </c>
      <c r="AG85" s="105">
        <f t="shared" si="52"/>
        <v>-1693417.5519248843</v>
      </c>
    </row>
    <row r="86" spans="2:36" ht="13.5" customHeight="1" x14ac:dyDescent="0.25">
      <c r="B86" s="284"/>
      <c r="C86" s="63" t="s">
        <v>196</v>
      </c>
      <c r="D86" s="50" t="s">
        <v>197</v>
      </c>
      <c r="E86" s="51" t="s">
        <v>613</v>
      </c>
      <c r="F86" s="101">
        <f t="shared" si="45"/>
        <v>0</v>
      </c>
      <c r="G86" s="40">
        <v>0</v>
      </c>
      <c r="H86" s="40">
        <v>0</v>
      </c>
      <c r="I86" s="40">
        <v>0</v>
      </c>
      <c r="J86" s="40">
        <v>0</v>
      </c>
      <c r="K86" s="40">
        <v>0</v>
      </c>
      <c r="L86" s="40">
        <v>0</v>
      </c>
      <c r="M86" s="40">
        <v>0</v>
      </c>
      <c r="N86" s="105">
        <f t="shared" si="46"/>
        <v>0</v>
      </c>
      <c r="O86" s="105">
        <f t="shared" ref="O86:AG86" si="53">+O26*O34</f>
        <v>0</v>
      </c>
      <c r="P86" s="105">
        <f t="shared" si="53"/>
        <v>0</v>
      </c>
      <c r="Q86" s="105">
        <f t="shared" si="53"/>
        <v>0</v>
      </c>
      <c r="R86" s="105">
        <f t="shared" si="53"/>
        <v>0</v>
      </c>
      <c r="S86" s="105">
        <f t="shared" si="53"/>
        <v>0</v>
      </c>
      <c r="T86" s="105">
        <f t="shared" si="53"/>
        <v>0</v>
      </c>
      <c r="U86" s="105">
        <f t="shared" si="53"/>
        <v>0</v>
      </c>
      <c r="V86" s="105">
        <f t="shared" si="53"/>
        <v>0</v>
      </c>
      <c r="W86" s="105">
        <f t="shared" si="53"/>
        <v>0</v>
      </c>
      <c r="X86" s="105">
        <f t="shared" si="53"/>
        <v>0</v>
      </c>
      <c r="Y86" s="105">
        <f t="shared" si="53"/>
        <v>0</v>
      </c>
      <c r="Z86" s="105">
        <f t="shared" si="53"/>
        <v>0</v>
      </c>
      <c r="AA86" s="105">
        <f t="shared" si="53"/>
        <v>0</v>
      </c>
      <c r="AB86" s="105">
        <f t="shared" si="53"/>
        <v>0</v>
      </c>
      <c r="AC86" s="105">
        <f t="shared" si="53"/>
        <v>0</v>
      </c>
      <c r="AD86" s="105">
        <f t="shared" si="53"/>
        <v>0</v>
      </c>
      <c r="AE86" s="105">
        <f t="shared" si="53"/>
        <v>0</v>
      </c>
      <c r="AF86" s="105">
        <f t="shared" si="53"/>
        <v>0</v>
      </c>
      <c r="AG86" s="105">
        <f t="shared" si="53"/>
        <v>0</v>
      </c>
    </row>
    <row r="87" spans="2:36" ht="13.5" customHeight="1" x14ac:dyDescent="0.25">
      <c r="B87" s="284"/>
      <c r="C87" s="63" t="s">
        <v>79</v>
      </c>
      <c r="D87" s="50" t="s">
        <v>476</v>
      </c>
      <c r="E87" s="51" t="s">
        <v>613</v>
      </c>
      <c r="F87" s="101">
        <f t="shared" si="45"/>
        <v>55062428.104268417</v>
      </c>
      <c r="G87" s="106">
        <f>'3.4 Costi d''Investimento'!L48</f>
        <v>360000</v>
      </c>
      <c r="H87" s="106">
        <f>'3.4 Costi d''Investimento'!M48</f>
        <v>382500</v>
      </c>
      <c r="I87" s="106">
        <f>'3.4 Costi d''Investimento'!N48</f>
        <v>382500</v>
      </c>
      <c r="J87" s="106">
        <f>'3.4 Costi d''Investimento'!O48</f>
        <v>500000</v>
      </c>
      <c r="K87" s="106">
        <f>'3.4 Costi d''Investimento'!P48</f>
        <v>20467336.399999999</v>
      </c>
      <c r="L87" s="106">
        <f>'3.4 Costi d''Investimento'!Q48</f>
        <v>25587250</v>
      </c>
      <c r="M87" s="106">
        <f>'3.4 Costi d''Investimento'!R48</f>
        <v>17218500</v>
      </c>
      <c r="N87" s="106">
        <f>'3.4 Costi d''Investimento'!S48</f>
        <v>600000</v>
      </c>
      <c r="O87" s="36">
        <v>0</v>
      </c>
      <c r="P87" s="36">
        <v>0</v>
      </c>
      <c r="Q87" s="36">
        <v>0</v>
      </c>
      <c r="R87" s="36">
        <v>0</v>
      </c>
      <c r="S87" s="36">
        <v>0</v>
      </c>
      <c r="T87" s="36">
        <v>0</v>
      </c>
      <c r="U87" s="36">
        <v>0</v>
      </c>
      <c r="V87" s="36">
        <v>0</v>
      </c>
      <c r="W87" s="36">
        <v>0</v>
      </c>
      <c r="X87" s="36">
        <v>0</v>
      </c>
      <c r="Y87" s="36">
        <v>0</v>
      </c>
      <c r="Z87" s="36">
        <v>0</v>
      </c>
      <c r="AA87" s="36">
        <v>0</v>
      </c>
      <c r="AB87" s="36">
        <v>0</v>
      </c>
      <c r="AC87" s="36">
        <v>0</v>
      </c>
      <c r="AD87" s="36">
        <v>0</v>
      </c>
      <c r="AE87" s="36">
        <v>0</v>
      </c>
      <c r="AF87" s="36">
        <v>0</v>
      </c>
      <c r="AG87" s="36">
        <v>1</v>
      </c>
    </row>
    <row r="88" spans="2:36" s="10" customFormat="1" ht="13.5" customHeight="1" x14ac:dyDescent="0.25">
      <c r="B88" s="284"/>
      <c r="C88" s="55" t="s">
        <v>138</v>
      </c>
      <c r="D88" s="51" t="s">
        <v>477</v>
      </c>
      <c r="E88" s="51" t="s">
        <v>613</v>
      </c>
      <c r="F88" s="101">
        <f t="shared" si="45"/>
        <v>1495411.2836368522</v>
      </c>
      <c r="G88" s="31">
        <v>0</v>
      </c>
      <c r="H88" s="31"/>
      <c r="I88" s="31"/>
      <c r="J88" s="31"/>
      <c r="K88" s="31"/>
      <c r="L88" s="31">
        <v>0</v>
      </c>
      <c r="M88" s="31">
        <v>0</v>
      </c>
      <c r="N88" s="106">
        <f>+'3.6 Valore Residuo e Rinnovi'!J38</f>
        <v>0</v>
      </c>
      <c r="O88" s="106">
        <f>+'3.6 Valore Residuo e Rinnovi'!K38</f>
        <v>0</v>
      </c>
      <c r="P88" s="106">
        <f>+'3.6 Valore Residuo e Rinnovi'!L38</f>
        <v>0</v>
      </c>
      <c r="Q88" s="106">
        <f>+'3.6 Valore Residuo e Rinnovi'!M38</f>
        <v>0</v>
      </c>
      <c r="R88" s="106">
        <f>+'3.6 Valore Residuo e Rinnovi'!N38</f>
        <v>0</v>
      </c>
      <c r="S88" s="106">
        <f>+'3.6 Valore Residuo e Rinnovi'!O38</f>
        <v>0</v>
      </c>
      <c r="T88" s="106">
        <f>+'3.6 Valore Residuo e Rinnovi'!P38</f>
        <v>0</v>
      </c>
      <c r="U88" s="106">
        <f>+'3.6 Valore Residuo e Rinnovi'!Q38</f>
        <v>2100000</v>
      </c>
      <c r="V88" s="106">
        <f>+'3.6 Valore Residuo e Rinnovi'!R38</f>
        <v>0</v>
      </c>
      <c r="W88" s="106">
        <f>+'3.6 Valore Residuo e Rinnovi'!S38</f>
        <v>0</v>
      </c>
      <c r="X88" s="106">
        <f>+'3.6 Valore Residuo e Rinnovi'!T38</f>
        <v>0</v>
      </c>
      <c r="Y88" s="106">
        <f>+'3.6 Valore Residuo e Rinnovi'!U38</f>
        <v>0</v>
      </c>
      <c r="Z88" s="106">
        <f>+'3.6 Valore Residuo e Rinnovi'!V38</f>
        <v>0</v>
      </c>
      <c r="AA88" s="106">
        <f>+'3.6 Valore Residuo e Rinnovi'!W38</f>
        <v>0</v>
      </c>
      <c r="AB88" s="106">
        <f>+'3.6 Valore Residuo e Rinnovi'!X38</f>
        <v>6733000</v>
      </c>
      <c r="AC88" s="106">
        <f>+'3.6 Valore Residuo e Rinnovi'!Y38</f>
        <v>0</v>
      </c>
      <c r="AD88" s="106">
        <f>+'3.6 Valore Residuo e Rinnovi'!Z38</f>
        <v>0</v>
      </c>
      <c r="AE88" s="106">
        <f>+'3.6 Valore Residuo e Rinnovi'!AA38</f>
        <v>0</v>
      </c>
      <c r="AF88" s="106">
        <f>+'3.6 Valore Residuo e Rinnovi'!AB38</f>
        <v>0</v>
      </c>
      <c r="AG88" s="106">
        <f>-'3.6 Valore Residuo e Rinnovi'!AC70</f>
        <v>-7848166.666666666</v>
      </c>
      <c r="AJ88" s="249"/>
    </row>
    <row r="89" spans="2:36" ht="13.5" customHeight="1" x14ac:dyDescent="0.25">
      <c r="B89" s="284"/>
      <c r="C89" s="64" t="s">
        <v>198</v>
      </c>
      <c r="D89" s="65" t="s">
        <v>199</v>
      </c>
      <c r="E89" s="52" t="s">
        <v>614</v>
      </c>
      <c r="F89" s="104">
        <f t="shared" si="45"/>
        <v>74710436.394196406</v>
      </c>
      <c r="G89" s="103">
        <f t="shared" ref="G89:N89" si="54">SUM(G80:G88)</f>
        <v>360000</v>
      </c>
      <c r="H89" s="103">
        <f t="shared" si="54"/>
        <v>382500</v>
      </c>
      <c r="I89" s="103">
        <f t="shared" si="54"/>
        <v>382500</v>
      </c>
      <c r="J89" s="103">
        <f t="shared" si="54"/>
        <v>500000</v>
      </c>
      <c r="K89" s="103">
        <f t="shared" si="54"/>
        <v>20467336.399999999</v>
      </c>
      <c r="L89" s="103">
        <f t="shared" si="54"/>
        <v>25587250</v>
      </c>
      <c r="M89" s="103">
        <f t="shared" si="54"/>
        <v>17218500</v>
      </c>
      <c r="N89" s="103">
        <f t="shared" si="54"/>
        <v>2114403.2054515705</v>
      </c>
      <c r="O89" s="103">
        <f t="shared" ref="O89:AG89" si="55">SUM(O80:O88)</f>
        <v>1514403.2054515705</v>
      </c>
      <c r="P89" s="103">
        <f t="shared" si="55"/>
        <v>1514403.2054515705</v>
      </c>
      <c r="Q89" s="103">
        <f t="shared" si="55"/>
        <v>1514403.2054515705</v>
      </c>
      <c r="R89" s="103">
        <f t="shared" si="55"/>
        <v>1514403.2054515705</v>
      </c>
      <c r="S89" s="103">
        <f t="shared" si="55"/>
        <v>1514403.2054515705</v>
      </c>
      <c r="T89" s="103">
        <f t="shared" si="55"/>
        <v>1514403.2054515705</v>
      </c>
      <c r="U89" s="103">
        <f t="shared" si="55"/>
        <v>3614403.2054515705</v>
      </c>
      <c r="V89" s="103">
        <f t="shared" si="55"/>
        <v>1514403.2054515705</v>
      </c>
      <c r="W89" s="103">
        <f t="shared" si="55"/>
        <v>1514403.2054515705</v>
      </c>
      <c r="X89" s="103">
        <f t="shared" si="55"/>
        <v>1514403.2054515705</v>
      </c>
      <c r="Y89" s="103">
        <f t="shared" si="55"/>
        <v>1514403.2054515705</v>
      </c>
      <c r="Z89" s="103">
        <f t="shared" si="55"/>
        <v>1514403.2054515705</v>
      </c>
      <c r="AA89" s="103">
        <f t="shared" si="55"/>
        <v>1514403.2054515705</v>
      </c>
      <c r="AB89" s="103">
        <f t="shared" si="55"/>
        <v>8247403.2054515705</v>
      </c>
      <c r="AC89" s="103">
        <f t="shared" si="55"/>
        <v>1514403.2054515705</v>
      </c>
      <c r="AD89" s="103">
        <f t="shared" si="55"/>
        <v>1514403.2054515705</v>
      </c>
      <c r="AE89" s="103">
        <f t="shared" si="55"/>
        <v>1514403.2054515705</v>
      </c>
      <c r="AF89" s="103">
        <f t="shared" si="55"/>
        <v>1514403.2054515705</v>
      </c>
      <c r="AG89" s="103">
        <f t="shared" si="55"/>
        <v>-6333762.4612150956</v>
      </c>
    </row>
    <row r="90" spans="2:36" ht="4.5" customHeight="1" x14ac:dyDescent="0.25">
      <c r="B90" s="5"/>
      <c r="C90" s="5"/>
      <c r="N90" s="5"/>
      <c r="O90" s="5"/>
      <c r="P90" s="5"/>
      <c r="Q90" s="5"/>
      <c r="R90" s="5"/>
      <c r="S90" s="5"/>
      <c r="T90" s="5"/>
      <c r="U90" s="5"/>
      <c r="V90" s="5"/>
      <c r="W90" s="5"/>
      <c r="X90" s="5"/>
      <c r="Y90" s="5"/>
      <c r="Z90" s="5"/>
      <c r="AA90" s="5"/>
      <c r="AB90" s="5"/>
    </row>
    <row r="91" spans="2:36" ht="13.5" customHeight="1" x14ac:dyDescent="0.25">
      <c r="B91" s="291" t="s">
        <v>463</v>
      </c>
      <c r="C91" s="59" t="s">
        <v>357</v>
      </c>
      <c r="D91" s="52" t="s">
        <v>358</v>
      </c>
      <c r="E91" s="52" t="s">
        <v>614</v>
      </c>
      <c r="F91" s="104">
        <f>+NPV(3%,G91:AG91)</f>
        <v>5066456.9020641418</v>
      </c>
      <c r="G91" s="89">
        <f t="shared" ref="G91:N91" si="56">+G78-G89</f>
        <v>-360000</v>
      </c>
      <c r="H91" s="89">
        <f t="shared" si="56"/>
        <v>-382500</v>
      </c>
      <c r="I91" s="89">
        <f t="shared" si="56"/>
        <v>-382500</v>
      </c>
      <c r="J91" s="89">
        <f t="shared" si="56"/>
        <v>-500000</v>
      </c>
      <c r="K91" s="89">
        <f t="shared" si="56"/>
        <v>-20467336.399999999</v>
      </c>
      <c r="L91" s="89">
        <f t="shared" si="56"/>
        <v>-25587250</v>
      </c>
      <c r="M91" s="89">
        <f t="shared" si="56"/>
        <v>-17218500</v>
      </c>
      <c r="N91" s="89">
        <f t="shared" si="56"/>
        <v>4480500.6374479737</v>
      </c>
      <c r="O91" s="89">
        <f t="shared" ref="O91:AG91" si="57">+O78-O89</f>
        <v>5080500.6374479737</v>
      </c>
      <c r="P91" s="89">
        <f t="shared" si="57"/>
        <v>5080500.6374479737</v>
      </c>
      <c r="Q91" s="89">
        <f t="shared" si="57"/>
        <v>5080500.6374479737</v>
      </c>
      <c r="R91" s="89">
        <f t="shared" si="57"/>
        <v>5080500.6374479737</v>
      </c>
      <c r="S91" s="89">
        <f t="shared" si="57"/>
        <v>5080500.6374479737</v>
      </c>
      <c r="T91" s="89">
        <f t="shared" si="57"/>
        <v>5080500.6374479737</v>
      </c>
      <c r="U91" s="89">
        <f t="shared" si="57"/>
        <v>2980500.6374479737</v>
      </c>
      <c r="V91" s="89">
        <f t="shared" si="57"/>
        <v>5080500.6374479737</v>
      </c>
      <c r="W91" s="89">
        <f t="shared" si="57"/>
        <v>5080500.6374479737</v>
      </c>
      <c r="X91" s="89">
        <f t="shared" si="57"/>
        <v>5080500.6374479737</v>
      </c>
      <c r="Y91" s="89">
        <f t="shared" si="57"/>
        <v>5080500.6374479737</v>
      </c>
      <c r="Z91" s="89">
        <f t="shared" si="57"/>
        <v>5080500.6374479737</v>
      </c>
      <c r="AA91" s="89">
        <f t="shared" si="57"/>
        <v>5080500.6374479737</v>
      </c>
      <c r="AB91" s="89">
        <f t="shared" si="57"/>
        <v>-1652499.3625520263</v>
      </c>
      <c r="AC91" s="89">
        <f t="shared" si="57"/>
        <v>5080500.6374479737</v>
      </c>
      <c r="AD91" s="89">
        <f t="shared" si="57"/>
        <v>5080500.6374479737</v>
      </c>
      <c r="AE91" s="89">
        <f t="shared" si="57"/>
        <v>5080500.6374479737</v>
      </c>
      <c r="AF91" s="89">
        <f t="shared" si="57"/>
        <v>5080500.6374479737</v>
      </c>
      <c r="AG91" s="89">
        <f t="shared" si="57"/>
        <v>12928666.30411464</v>
      </c>
    </row>
    <row r="92" spans="2:36" ht="13.5" customHeight="1" x14ac:dyDescent="0.25">
      <c r="B92" s="291"/>
      <c r="C92" s="64" t="s">
        <v>359</v>
      </c>
      <c r="D92" s="65" t="s">
        <v>360</v>
      </c>
      <c r="E92" s="65" t="s">
        <v>361</v>
      </c>
      <c r="F92" s="107">
        <f>+(F78-SUM(F80:F86,F88))/F87</f>
        <v>1.0889844371913153</v>
      </c>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row>
    <row r="93" spans="2:36" ht="13.5" customHeight="1" x14ac:dyDescent="0.25">
      <c r="B93" s="291"/>
      <c r="C93" s="64" t="s">
        <v>362</v>
      </c>
      <c r="D93" s="65" t="s">
        <v>363</v>
      </c>
      <c r="E93" s="65" t="s">
        <v>23</v>
      </c>
      <c r="F93" s="108">
        <f>+IRR(G91:AG91,3%)</f>
        <v>3.839359192796743E-2</v>
      </c>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row>
    <row r="94" spans="2:36" ht="4.5" customHeight="1" x14ac:dyDescent="0.25">
      <c r="B94" s="5"/>
      <c r="C94" s="5"/>
      <c r="N94" s="5"/>
      <c r="O94" s="5"/>
      <c r="P94" s="5"/>
      <c r="Q94" s="5"/>
      <c r="R94" s="5"/>
      <c r="S94" s="5"/>
      <c r="T94" s="5"/>
      <c r="U94" s="5"/>
      <c r="V94" s="5"/>
      <c r="W94" s="5"/>
      <c r="X94" s="5"/>
      <c r="Y94" s="5"/>
      <c r="Z94" s="5"/>
      <c r="AA94" s="5"/>
      <c r="AB94" s="5"/>
    </row>
    <row r="95" spans="2:36" ht="13.5" customHeight="1" x14ac:dyDescent="0.25">
      <c r="B95" s="128" t="s">
        <v>587</v>
      </c>
      <c r="C95" s="257" t="s">
        <v>593</v>
      </c>
      <c r="D95" s="257"/>
      <c r="E95" s="257"/>
      <c r="F95" s="257"/>
    </row>
  </sheetData>
  <mergeCells count="11">
    <mergeCell ref="B36:B43"/>
    <mergeCell ref="B45:B67"/>
    <mergeCell ref="C95:F95"/>
    <mergeCell ref="B4:AG4"/>
    <mergeCell ref="B91:B93"/>
    <mergeCell ref="B69:B78"/>
    <mergeCell ref="B80:B89"/>
    <mergeCell ref="B8:B12"/>
    <mergeCell ref="B14:B18"/>
    <mergeCell ref="B20:B26"/>
    <mergeCell ref="B28:B34"/>
  </mergeCells>
  <phoneticPr fontId="0" type="noConversion"/>
  <pageMargins left="0.7" right="0.7" top="0.75" bottom="0.75" header="0.3" footer="0.3"/>
  <pageSetup paperSize="8" scale="6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11</vt:i4>
      </vt:variant>
    </vt:vector>
  </HeadingPairs>
  <TitlesOfParts>
    <vt:vector size="11" baseType="lpstr">
      <vt:lpstr>Foglio1</vt:lpstr>
      <vt:lpstr>3.1 Mobilità e Rete TPL</vt:lpstr>
      <vt:lpstr>3.2 Linee TPL</vt:lpstr>
      <vt:lpstr>3.3 Parco TPL</vt:lpstr>
      <vt:lpstr>3.4 Costi d'Investimento</vt:lpstr>
      <vt:lpstr>3.5 Vita Utile</vt:lpstr>
      <vt:lpstr>3.6 Valore Residuo e Rinnovi</vt:lpstr>
      <vt:lpstr>3.7 Costi d'Esercizio</vt:lpstr>
      <vt:lpstr>3.8 ABC</vt:lpstr>
      <vt:lpstr>3.9 Copertura Costi d'Esercizio</vt:lpstr>
      <vt:lpstr>Dati di Supporto</vt:lpstr>
    </vt:vector>
  </TitlesOfParts>
  <Company>European Investment 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RAVASIO Mauro</dc:creator>
  <cp:lastModifiedBy>Utente</cp:lastModifiedBy>
  <cp:lastPrinted>2022-08-25T09:22:37Z</cp:lastPrinted>
  <dcterms:created xsi:type="dcterms:W3CDTF">2018-06-26T08:41:52Z</dcterms:created>
  <dcterms:modified xsi:type="dcterms:W3CDTF">2022-08-29T17:58:43Z</dcterms:modified>
</cp:coreProperties>
</file>